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660" windowWidth="11295" windowHeight="5490" tabRatio="599" activeTab="0"/>
  </bookViews>
  <sheets>
    <sheet name="table 1 sources" sheetId="1" r:id="rId1"/>
    <sheet name="table 2 life history" sheetId="2" r:id="rId2"/>
    <sheet name="table 3 Height" sheetId="3" r:id="rId3"/>
    <sheet name="table 4 pop growth r" sheetId="4" r:id="rId4"/>
  </sheets>
  <definedNames/>
  <calcPr fullCalcOnLoad="1"/>
</workbook>
</file>

<file path=xl/sharedStrings.xml><?xml version="1.0" encoding="utf-8"?>
<sst xmlns="http://schemas.openxmlformats.org/spreadsheetml/2006/main" count="1148" uniqueCount="723">
  <si>
    <t>Number of</t>
  </si>
  <si>
    <t>individuals</t>
  </si>
  <si>
    <t>collection</t>
  </si>
  <si>
    <t xml:space="preserve">Average </t>
  </si>
  <si>
    <t>Ache female</t>
  </si>
  <si>
    <t>Ache male</t>
  </si>
  <si>
    <t>Hadza female</t>
  </si>
  <si>
    <t>Hadza male</t>
  </si>
  <si>
    <t>Hiwi female</t>
  </si>
  <si>
    <t>Hiwi male</t>
  </si>
  <si>
    <t>Ju'/hoansi male</t>
  </si>
  <si>
    <t>Ju'/hoansi female</t>
  </si>
  <si>
    <t>Age at</t>
  </si>
  <si>
    <t>takeoff</t>
  </si>
  <si>
    <t>velocity</t>
  </si>
  <si>
    <t xml:space="preserve">Age at </t>
  </si>
  <si>
    <t xml:space="preserve">peak </t>
  </si>
  <si>
    <t>Age at return</t>
  </si>
  <si>
    <t>to takeoff</t>
  </si>
  <si>
    <t>Average</t>
  </si>
  <si>
    <t>Interbirth</t>
  </si>
  <si>
    <t>interval</t>
  </si>
  <si>
    <t>1985-1988</t>
  </si>
  <si>
    <t>1967-1969</t>
  </si>
  <si>
    <t>per individual</t>
  </si>
  <si>
    <t>13.0</t>
  </si>
  <si>
    <t>15.0</t>
  </si>
  <si>
    <t>13</t>
  </si>
  <si>
    <t>13.5</t>
  </si>
  <si>
    <t>16</t>
  </si>
  <si>
    <t>21.5</t>
  </si>
  <si>
    <t>12</t>
  </si>
  <si>
    <t>14</t>
  </si>
  <si>
    <t>17</t>
  </si>
  <si>
    <t>(kg/yr)</t>
  </si>
  <si>
    <t>(months)</t>
  </si>
  <si>
    <t>US female</t>
  </si>
  <si>
    <t>US male</t>
  </si>
  <si>
    <t>1999-2000</t>
  </si>
  <si>
    <t>Tsimane female</t>
  </si>
  <si>
    <t>Tsimane male</t>
  </si>
  <si>
    <t>size (kg)</t>
  </si>
  <si>
    <t>Gurven</t>
  </si>
  <si>
    <r>
      <t>&lt;</t>
    </r>
    <r>
      <rPr>
        <sz val="10"/>
        <rFont val="Arial"/>
        <family val="0"/>
      </rPr>
      <t>25 yr old</t>
    </r>
  </si>
  <si>
    <t>2002-2003</t>
  </si>
  <si>
    <t>Bolivia</t>
  </si>
  <si>
    <t>Paraguay</t>
  </si>
  <si>
    <t>Tanzania</t>
  </si>
  <si>
    <t>Venezuela</t>
  </si>
  <si>
    <t>Brazil</t>
  </si>
  <si>
    <t>11</t>
  </si>
  <si>
    <t>18</t>
  </si>
  <si>
    <t>Namibia</t>
  </si>
  <si>
    <t>Country</t>
  </si>
  <si>
    <t>Probability</t>
  </si>
  <si>
    <t>growth</t>
  </si>
  <si>
    <t>NHANES 1999-2000</t>
  </si>
  <si>
    <t>measurements</t>
  </si>
  <si>
    <t>4.6 W / 1 H</t>
  </si>
  <si>
    <t>222 W / 106 H</t>
  </si>
  <si>
    <t>262 W / 110 H</t>
  </si>
  <si>
    <t>3.9 W / 1 H</t>
  </si>
  <si>
    <t>1</t>
  </si>
  <si>
    <t>5.6 W / 2.5 H</t>
  </si>
  <si>
    <t>6.5 W / 2.9 H</t>
  </si>
  <si>
    <t>5.2 W / 1.5 H</t>
  </si>
  <si>
    <t>4.6 W / 1.4 H</t>
  </si>
  <si>
    <t>(cm/yr)</t>
  </si>
  <si>
    <t>height (cm)</t>
  </si>
  <si>
    <t>2001-2002 H</t>
  </si>
  <si>
    <t>15</t>
  </si>
  <si>
    <t>14.5</t>
  </si>
  <si>
    <t>17.5</t>
  </si>
  <si>
    <t>16.5</t>
  </si>
  <si>
    <t>10</t>
  </si>
  <si>
    <t>11.0</t>
  </si>
  <si>
    <t>16.0</t>
  </si>
  <si>
    <t>1980-2001 W /</t>
  </si>
  <si>
    <t>Samoans</t>
  </si>
  <si>
    <t>Toba</t>
  </si>
  <si>
    <t>Aka</t>
  </si>
  <si>
    <t>Au</t>
  </si>
  <si>
    <t>Shiwiar/Achuar/Zapparo</t>
  </si>
  <si>
    <t>Yora</t>
  </si>
  <si>
    <t>Hewlett</t>
  </si>
  <si>
    <t>Ngandu</t>
  </si>
  <si>
    <t>Sugiyama</t>
  </si>
  <si>
    <t>McDade</t>
  </si>
  <si>
    <t>Djurovic</t>
  </si>
  <si>
    <t>Martu</t>
  </si>
  <si>
    <t>Bird</t>
  </si>
  <si>
    <t>Western Samoa</t>
  </si>
  <si>
    <t>1997-1998</t>
  </si>
  <si>
    <t>Sugiyama &amp; Hagen</t>
  </si>
  <si>
    <t>Australia</t>
  </si>
  <si>
    <t>menarche</t>
  </si>
  <si>
    <t>fertility</t>
  </si>
  <si>
    <t>Efe</t>
  </si>
  <si>
    <t>Pume</t>
  </si>
  <si>
    <t>Kramer</t>
  </si>
  <si>
    <t>Maya</t>
  </si>
  <si>
    <t>Mbuti</t>
  </si>
  <si>
    <t>Cameroon</t>
  </si>
  <si>
    <t>Twa</t>
  </si>
  <si>
    <t>Bakola</t>
  </si>
  <si>
    <t>Lamalera</t>
  </si>
  <si>
    <t>Alvard</t>
  </si>
  <si>
    <t>Democratic Republic of Congo</t>
  </si>
  <si>
    <t>Ruanda/Democratic Republic of Congo</t>
  </si>
  <si>
    <t>Central African Republic</t>
  </si>
  <si>
    <t>Paliya</t>
  </si>
  <si>
    <t>Gardner</t>
  </si>
  <si>
    <t>India</t>
  </si>
  <si>
    <t>Batek</t>
  </si>
  <si>
    <t>Baka female</t>
  </si>
  <si>
    <t>Baka male</t>
  </si>
  <si>
    <t>108 W / 104 H</t>
  </si>
  <si>
    <t>109 W / 108 H</t>
  </si>
  <si>
    <t>n/a</t>
  </si>
  <si>
    <t>yes</t>
  </si>
  <si>
    <t>Froment et al. 1993</t>
  </si>
  <si>
    <t>maybe</t>
  </si>
  <si>
    <t>Efe female</t>
  </si>
  <si>
    <t>Efe male</t>
  </si>
  <si>
    <t>United States</t>
  </si>
  <si>
    <t>dimorphism</t>
  </si>
  <si>
    <t>≠Kade</t>
  </si>
  <si>
    <t>Tanaka 1980</t>
  </si>
  <si>
    <t>no</t>
  </si>
  <si>
    <t>Child-juvenile</t>
  </si>
  <si>
    <t>Jarawa</t>
  </si>
  <si>
    <t>Andamans, India</t>
  </si>
  <si>
    <t>Sahani, 2003</t>
  </si>
  <si>
    <t>Jarawa female</t>
  </si>
  <si>
    <t>Jarawa male</t>
  </si>
  <si>
    <t>Onge</t>
  </si>
  <si>
    <t>Rao et al. 1969</t>
  </si>
  <si>
    <t>Onge female</t>
  </si>
  <si>
    <t>Onge male</t>
  </si>
  <si>
    <t>Yanomamo female</t>
  </si>
  <si>
    <t>Yanomamo male</t>
  </si>
  <si>
    <t>New Guinea</t>
  </si>
  <si>
    <t>Maku</t>
  </si>
  <si>
    <t>Milton 1984</t>
  </si>
  <si>
    <t>Maku female</t>
  </si>
  <si>
    <t>Maku male</t>
  </si>
  <si>
    <t>Yaghan</t>
  </si>
  <si>
    <t>Ayoreo</t>
  </si>
  <si>
    <t>Warao</t>
  </si>
  <si>
    <t>Warao male</t>
  </si>
  <si>
    <t>Yora female</t>
  </si>
  <si>
    <t>Yora male</t>
  </si>
  <si>
    <t>Batak female</t>
  </si>
  <si>
    <t>Batak male</t>
  </si>
  <si>
    <t>Penan female</t>
  </si>
  <si>
    <t>Penan male</t>
  </si>
  <si>
    <t>Alyawara</t>
  </si>
  <si>
    <t>Walbiri female</t>
  </si>
  <si>
    <t>Walbiri male</t>
  </si>
  <si>
    <t>Groote Eylandt female</t>
  </si>
  <si>
    <t>Groote Eylandt male</t>
  </si>
  <si>
    <t>Elkin 1940</t>
  </si>
  <si>
    <t>Peru</t>
  </si>
  <si>
    <t>polygyny</t>
  </si>
  <si>
    <t>% married</t>
  </si>
  <si>
    <t>men</t>
  </si>
  <si>
    <t>sex ratio</t>
  </si>
  <si>
    <t>0-5 yr</t>
  </si>
  <si>
    <t>Yuqui</t>
  </si>
  <si>
    <t>Bormida &amp; Califano 1978; Bugos 1985</t>
  </si>
  <si>
    <t>confirm alpha</t>
  </si>
  <si>
    <t>Piro/Machiguenga</t>
  </si>
  <si>
    <t>Penan</t>
  </si>
  <si>
    <t>Brosius</t>
  </si>
  <si>
    <t>Cavalli-Sforza</t>
  </si>
  <si>
    <t>Sexual</t>
  </si>
  <si>
    <t xml:space="preserve">Age </t>
  </si>
  <si>
    <t>day</t>
  </si>
  <si>
    <t>year</t>
  </si>
  <si>
    <t>day, month</t>
  </si>
  <si>
    <t>season</t>
  </si>
  <si>
    <t>multiple</t>
  </si>
  <si>
    <t>reproduction</t>
  </si>
  <si>
    <t>Fitness</t>
  </si>
  <si>
    <t>of survival to</t>
  </si>
  <si>
    <t>age 15 (l15)</t>
  </si>
  <si>
    <t>ratio (M/F)</t>
  </si>
  <si>
    <t>7.5</t>
  </si>
  <si>
    <t>Ache forest female</t>
  </si>
  <si>
    <t>Ache forest male</t>
  </si>
  <si>
    <t>Leigh &amp; Shea 1996 / Hill et al. 2001 /</t>
  </si>
  <si>
    <t>Sources for growth</t>
  </si>
  <si>
    <t>Agta peasant female</t>
  </si>
  <si>
    <t>Agta peasant male</t>
  </si>
  <si>
    <t>Agta forager female</t>
  </si>
  <si>
    <t>Agta forager male</t>
  </si>
  <si>
    <t>Agta transition female</t>
  </si>
  <si>
    <t>Agta transition male</t>
  </si>
  <si>
    <t>Kaplan 1994, Alvard</t>
  </si>
  <si>
    <t>Body</t>
  </si>
  <si>
    <t>mass</t>
  </si>
  <si>
    <t>index</t>
  </si>
  <si>
    <t>adult</t>
  </si>
  <si>
    <t>Maku-Nadeb female</t>
  </si>
  <si>
    <t>Maku-Nadeb male</t>
  </si>
  <si>
    <t>Chimpanzee female</t>
  </si>
  <si>
    <t>Chimpanzee male</t>
  </si>
  <si>
    <t>Lathouwers &amp; van Elsacker 2005</t>
  </si>
  <si>
    <t>Bonobo wild</t>
  </si>
  <si>
    <t>Bonobo captive</t>
  </si>
  <si>
    <t>Economy</t>
  </si>
  <si>
    <t xml:space="preserve">Tropical </t>
  </si>
  <si>
    <t>woodland</t>
  </si>
  <si>
    <t>gallery forest</t>
  </si>
  <si>
    <t>Forager</t>
  </si>
  <si>
    <t>Ecology</t>
  </si>
  <si>
    <t>diff alpha-menarche</t>
  </si>
  <si>
    <t>last reprod</t>
  </si>
  <si>
    <t>Ju/'hoansi acculturated</t>
  </si>
  <si>
    <t>Northern Territory Aborigines</t>
  </si>
  <si>
    <t>Trio</t>
  </si>
  <si>
    <t>Tiriyo</t>
  </si>
  <si>
    <t>Kaxuyana</t>
  </si>
  <si>
    <t>Kayapo</t>
  </si>
  <si>
    <t>Gorotire</t>
  </si>
  <si>
    <t>Xingu</t>
  </si>
  <si>
    <t>Suia</t>
  </si>
  <si>
    <t>Cinta Larga</t>
  </si>
  <si>
    <t>reprod</t>
  </si>
  <si>
    <t>lifespan</t>
  </si>
  <si>
    <t>repro</t>
  </si>
  <si>
    <t>ls</t>
  </si>
  <si>
    <t>calculated</t>
  </si>
  <si>
    <t>Chenchu</t>
  </si>
  <si>
    <t>5-6</t>
  </si>
  <si>
    <t>Hewlett 1991 JAR demography and childcare in preindustrial societies 47:1-37</t>
  </si>
  <si>
    <t>Ayoreo female</t>
  </si>
  <si>
    <t>Ayoreo male</t>
  </si>
  <si>
    <t>Desert /</t>
  </si>
  <si>
    <t xml:space="preserve">Savanna  </t>
  </si>
  <si>
    <t>Savanna /</t>
  </si>
  <si>
    <t>size age 5</t>
  </si>
  <si>
    <t>size age 10</t>
  </si>
  <si>
    <t>velocity 5-10</t>
  </si>
  <si>
    <t>age 5</t>
  </si>
  <si>
    <t>height</t>
  </si>
  <si>
    <t>age 10</t>
  </si>
  <si>
    <t>vel 5-10</t>
  </si>
  <si>
    <t>103</t>
  </si>
  <si>
    <t>99</t>
  </si>
  <si>
    <t>94</t>
  </si>
  <si>
    <t>115</t>
  </si>
  <si>
    <t>118</t>
  </si>
  <si>
    <t>102</t>
  </si>
  <si>
    <t>125</t>
  </si>
  <si>
    <t>106.4</t>
  </si>
  <si>
    <t>135.3</t>
  </si>
  <si>
    <t>110.5</t>
  </si>
  <si>
    <t>127.6</t>
  </si>
  <si>
    <t>108</t>
  </si>
  <si>
    <t>125.2</t>
  </si>
  <si>
    <t>Yek/wana</t>
  </si>
  <si>
    <t>Lauer 2005</t>
  </si>
  <si>
    <t>Yekwana</t>
  </si>
  <si>
    <t>Gorilla wild</t>
  </si>
  <si>
    <t>Orangutan wild</t>
  </si>
  <si>
    <t>galdikas and wood 83</t>
  </si>
  <si>
    <t>Dyson, 1977; Lars Smith 77 census; Woodburn unpublished</t>
  </si>
  <si>
    <t>latitude</t>
  </si>
  <si>
    <t>Tiwi</t>
  </si>
  <si>
    <t>Jones 1963, 1965</t>
  </si>
  <si>
    <t>Bailey 1991; Bailey and Peacock 1988</t>
  </si>
  <si>
    <t>Mbuti female</t>
  </si>
  <si>
    <t>Mbuti male</t>
  </si>
  <si>
    <t>Aka female</t>
  </si>
  <si>
    <t>Aka male</t>
  </si>
  <si>
    <t>G/wi San</t>
  </si>
  <si>
    <t>young</t>
  </si>
  <si>
    <t>size</t>
  </si>
  <si>
    <t xml:space="preserve">adult </t>
  </si>
  <si>
    <t>Twal female</t>
  </si>
  <si>
    <t>Industrial</t>
  </si>
  <si>
    <t>Total</t>
  </si>
  <si>
    <t>too few</t>
  </si>
  <si>
    <t>rate (TFR)</t>
  </si>
  <si>
    <t>(TFR*l15)</t>
  </si>
  <si>
    <t>A</t>
  </si>
  <si>
    <t>c-j vel</t>
  </si>
  <si>
    <t>Ache res. female</t>
  </si>
  <si>
    <t>Ache res. male</t>
  </si>
  <si>
    <t>Poland</t>
  </si>
  <si>
    <t>Netherlands</t>
  </si>
  <si>
    <t>Aeta female</t>
  </si>
  <si>
    <t>Aeta male</t>
  </si>
  <si>
    <t>NCHS female</t>
  </si>
  <si>
    <t>NCHS male</t>
  </si>
  <si>
    <t>Poland female</t>
  </si>
  <si>
    <t>Poland male</t>
  </si>
  <si>
    <t>Netherlands female</t>
  </si>
  <si>
    <t>Netherlands male</t>
  </si>
  <si>
    <t>Pygmy (E. Af.) female</t>
  </si>
  <si>
    <t>Pygmy (E. Af.) male</t>
  </si>
  <si>
    <t>Pygmy (W. Af.) female</t>
  </si>
  <si>
    <t>Pygmy (W. Af.) male</t>
  </si>
  <si>
    <t>Turkana female</t>
  </si>
  <si>
    <t>Turkana male</t>
  </si>
  <si>
    <t>Tutsi female</t>
  </si>
  <si>
    <t>Tutsi male</t>
  </si>
  <si>
    <t>Maasai female</t>
  </si>
  <si>
    <t>Maasai male</t>
  </si>
  <si>
    <t>10.5</t>
  </si>
  <si>
    <t>Tutsi</t>
  </si>
  <si>
    <t>Life</t>
  </si>
  <si>
    <t>expectancy</t>
  </si>
  <si>
    <t>at birth</t>
  </si>
  <si>
    <t>l5</t>
  </si>
  <si>
    <t>also called Western Pygmy</t>
  </si>
  <si>
    <t>also called Efe, referred collectively as Eastern Pygmies but 2 demo studies schebesta and turnbull</t>
  </si>
  <si>
    <t>Herero</t>
  </si>
  <si>
    <t>menarche 15.1; tfr=3.8 in eder, 4.2 is migliano, prob .55 in ache lf; .48 in eder original I think, this is migliano</t>
  </si>
  <si>
    <t>12.5</t>
  </si>
  <si>
    <t>Philippines</t>
  </si>
  <si>
    <t>Pygmy male</t>
  </si>
  <si>
    <t>1980, 2003</t>
  </si>
  <si>
    <t>1975-1977</t>
  </si>
  <si>
    <t>108 W / 120 H</t>
  </si>
  <si>
    <t>78 W / 88 H</t>
  </si>
  <si>
    <t>Little et al. 1983</t>
  </si>
  <si>
    <t>(Palawan Is.)</t>
  </si>
  <si>
    <t>(Luzon Is.)</t>
  </si>
  <si>
    <t>92.6</t>
  </si>
  <si>
    <t>114.9</t>
  </si>
  <si>
    <t>109.6</t>
  </si>
  <si>
    <t>110.9</t>
  </si>
  <si>
    <t>140.1</t>
  </si>
  <si>
    <t>139.3</t>
  </si>
  <si>
    <t>5</t>
  </si>
  <si>
    <t>18-19</t>
  </si>
  <si>
    <t>Guaja male</t>
  </si>
  <si>
    <t>Guaja female</t>
  </si>
  <si>
    <t>52 W / 42 H</t>
  </si>
  <si>
    <t>51 W / 42 H</t>
  </si>
  <si>
    <t>107</t>
  </si>
  <si>
    <t>100.5</t>
  </si>
  <si>
    <t>129.5</t>
  </si>
  <si>
    <t>Au female</t>
  </si>
  <si>
    <t>Tracer et al. 1998; Tracer 1991 ajpa "fertility-related changes in maternal body composition among the Au of Papua New Guinea 85:393-405</t>
  </si>
  <si>
    <t xml:space="preserve">birth </t>
  </si>
  <si>
    <t>weight</t>
  </si>
  <si>
    <t>Au male</t>
  </si>
  <si>
    <t>Lese female</t>
  </si>
  <si>
    <t>Lese male</t>
  </si>
  <si>
    <t>Age at first</t>
  </si>
  <si>
    <t>longitude</t>
  </si>
  <si>
    <t>rainfall</t>
  </si>
  <si>
    <t>≠Kade G/wi female</t>
  </si>
  <si>
    <t>≠Kade G/wi male</t>
  </si>
  <si>
    <t>kcal</t>
  </si>
  <si>
    <t>meat</t>
  </si>
  <si>
    <t>cons</t>
  </si>
  <si>
    <t>kg/day/person</t>
  </si>
  <si>
    <t>Semai</t>
  </si>
  <si>
    <t>Malay Peninsula</t>
  </si>
  <si>
    <t>Fix 1980</t>
  </si>
  <si>
    <t>r</t>
  </si>
  <si>
    <t>estimate ls at 20</t>
  </si>
  <si>
    <t>estimate alpha 20</t>
  </si>
  <si>
    <t>Chimp captive female</t>
  </si>
  <si>
    <t>Chimp captive male</t>
  </si>
  <si>
    <t>Gorilla captive female</t>
  </si>
  <si>
    <t>Gorilla captive male</t>
  </si>
  <si>
    <t>Bonobo captive female</t>
  </si>
  <si>
    <t>Bonobo captive male</t>
  </si>
  <si>
    <t>Chimp female</t>
  </si>
  <si>
    <r>
      <t>Chimp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male</t>
    </r>
  </si>
  <si>
    <t>2</t>
  </si>
  <si>
    <t>4.5</t>
  </si>
  <si>
    <t>Semang</t>
  </si>
  <si>
    <t>greenland inuit</t>
  </si>
  <si>
    <t>Xavante</t>
  </si>
  <si>
    <t>Yanomamo Neel female</t>
  </si>
  <si>
    <t>Yanomamo Neel male</t>
  </si>
  <si>
    <t>H-G in Hewlett 91</t>
  </si>
  <si>
    <t>sedentary hg</t>
  </si>
  <si>
    <t>Mukogodo</t>
  </si>
  <si>
    <t>Pitjantjatjara</t>
  </si>
  <si>
    <t>shg</t>
  </si>
  <si>
    <t>Takamiut</t>
  </si>
  <si>
    <t>Bambara</t>
  </si>
  <si>
    <t>Bari</t>
  </si>
  <si>
    <t>Caingang</t>
  </si>
  <si>
    <t>Dusun</t>
  </si>
  <si>
    <t>Kapauku</t>
  </si>
  <si>
    <t>Lese</t>
  </si>
  <si>
    <t>Ngbaka</t>
  </si>
  <si>
    <t>Talensi</t>
  </si>
  <si>
    <t>Tamang</t>
  </si>
  <si>
    <t>Datoga</t>
  </si>
  <si>
    <t>Fulani</t>
  </si>
  <si>
    <t>Kipsigis</t>
  </si>
  <si>
    <t>Plateau Tonga</t>
  </si>
  <si>
    <t>Sebei</t>
  </si>
  <si>
    <t>Twareg</t>
  </si>
  <si>
    <t>pastoralists</t>
  </si>
  <si>
    <t>hort</t>
  </si>
  <si>
    <t>Xavante male</t>
  </si>
  <si>
    <t>Xavante female</t>
  </si>
  <si>
    <t>Salzano et al. 1967; Gugelmin 2001</t>
  </si>
  <si>
    <t>Bisman Asmat female</t>
  </si>
  <si>
    <t>Bisman Asmat male</t>
  </si>
  <si>
    <t>Infant</t>
  </si>
  <si>
    <t>mortality</t>
  </si>
  <si>
    <t>rate</t>
  </si>
  <si>
    <t>Harako 1981</t>
  </si>
  <si>
    <t>1 year</t>
  </si>
  <si>
    <t>old</t>
  </si>
  <si>
    <t>age 3</t>
  </si>
  <si>
    <t>Agta Cagayan</t>
  </si>
  <si>
    <t>Goodman et al. 1985</t>
  </si>
  <si>
    <t>Glew</t>
  </si>
  <si>
    <t>Desert</t>
  </si>
  <si>
    <t>year+</t>
  </si>
  <si>
    <t>1950s</t>
  </si>
  <si>
    <t>113</t>
  </si>
  <si>
    <t>137</t>
  </si>
  <si>
    <t>111</t>
  </si>
  <si>
    <t>140</t>
  </si>
  <si>
    <t>1+</t>
  </si>
  <si>
    <t>elevated</t>
  </si>
  <si>
    <t>eosinophilia</t>
  </si>
  <si>
    <t>percent</t>
  </si>
  <si>
    <t>estimate/missing/wrong</t>
  </si>
  <si>
    <t>15-20</t>
  </si>
  <si>
    <t>Nunamuit female</t>
  </si>
  <si>
    <t>Nunamuit male</t>
  </si>
  <si>
    <t>12? Menarche</t>
  </si>
  <si>
    <t>Mennonites</t>
  </si>
  <si>
    <t>Stevenson et al. 2004</t>
  </si>
  <si>
    <t>gestation to one</t>
  </si>
  <si>
    <t>1 to 3</t>
  </si>
  <si>
    <t>3 to 5</t>
  </si>
  <si>
    <t>Gambian villages</t>
  </si>
  <si>
    <t>Gambian villages female</t>
  </si>
  <si>
    <t>Gambian villages male</t>
  </si>
  <si>
    <t>1951-1975</t>
  </si>
  <si>
    <t xml:space="preserve">at </t>
  </si>
  <si>
    <t xml:space="preserve">size at </t>
  </si>
  <si>
    <t>fraction</t>
  </si>
  <si>
    <t>14-15</t>
  </si>
  <si>
    <t>1960s/1970s</t>
  </si>
  <si>
    <t>Farming-</t>
  </si>
  <si>
    <t>foraging</t>
  </si>
  <si>
    <t>Horticultural</t>
  </si>
  <si>
    <t>Gainj &amp; Asai female</t>
  </si>
  <si>
    <t>Gainj &amp; Asai male</t>
  </si>
  <si>
    <t>Yupik female</t>
  </si>
  <si>
    <t>Yupik male</t>
  </si>
  <si>
    <t>Alaska</t>
  </si>
  <si>
    <t>1920s-1930s</t>
  </si>
  <si>
    <t>Settled</t>
  </si>
  <si>
    <t>foragers</t>
  </si>
  <si>
    <t>Tundra</t>
  </si>
  <si>
    <t>1-5</t>
  </si>
  <si>
    <t>Hrdlicka 1941</t>
  </si>
  <si>
    <t>Malaysia</t>
  </si>
  <si>
    <t>Kenya</t>
  </si>
  <si>
    <t>at age 15</t>
  </si>
  <si>
    <t xml:space="preserve"> age</t>
  </si>
  <si>
    <t>Billewicz &amp; McGregor 1981; Billewicz &amp; McGregor 1982; Allal et al. 2004</t>
  </si>
  <si>
    <t>Coastal /</t>
  </si>
  <si>
    <t>large sample</t>
  </si>
  <si>
    <t>1940s</t>
  </si>
  <si>
    <t>Arnhem land female</t>
  </si>
  <si>
    <t>Arnhem land male</t>
  </si>
  <si>
    <t>15.5</t>
  </si>
  <si>
    <t>110</t>
  </si>
  <si>
    <t>133</t>
  </si>
  <si>
    <t>134</t>
  </si>
  <si>
    <t>made up l15 as .9l5 for r</t>
  </si>
  <si>
    <t>15l1</t>
  </si>
  <si>
    <t>Dominica</t>
  </si>
  <si>
    <t>Flinn</t>
  </si>
  <si>
    <t>MAR</t>
  </si>
  <si>
    <t>Toba female</t>
  </si>
  <si>
    <t>Toba male</t>
  </si>
  <si>
    <t>Argentina</t>
  </si>
  <si>
    <t>Mixed</t>
  </si>
  <si>
    <t>Wichi female</t>
  </si>
  <si>
    <t>total</t>
  </si>
  <si>
    <t>population</t>
  </si>
  <si>
    <t>area</t>
  </si>
  <si>
    <t>density</t>
  </si>
  <si>
    <t>Wichi male</t>
  </si>
  <si>
    <t xml:space="preserve">Vallegia  </t>
  </si>
  <si>
    <t>Pastoral</t>
  </si>
  <si>
    <t>Savanna</t>
  </si>
  <si>
    <t>219 W / 245 H</t>
  </si>
  <si>
    <t>192 W / 230 H</t>
  </si>
  <si>
    <t>Neotropical</t>
  </si>
  <si>
    <t>168 W / 131 H</t>
  </si>
  <si>
    <t>160 W / 130 H</t>
  </si>
  <si>
    <t>Highlanders</t>
  </si>
  <si>
    <t>Dry forest</t>
  </si>
  <si>
    <t>Cameroon/</t>
  </si>
  <si>
    <t>Congo/C.A.R.</t>
  </si>
  <si>
    <t>Pygmy female (Efe/Mbuti)</t>
  </si>
  <si>
    <t>Baka female (Pygmy)</t>
  </si>
  <si>
    <t>Group name</t>
  </si>
  <si>
    <t>1920s, 1980</t>
  </si>
  <si>
    <t>1981-1982</t>
  </si>
  <si>
    <t>forest</t>
  </si>
  <si>
    <t>Dem. Republic</t>
  </si>
  <si>
    <t xml:space="preserve">Congo </t>
  </si>
  <si>
    <t>Botswana/</t>
  </si>
  <si>
    <t>accuracy</t>
  </si>
  <si>
    <t>Vallegia</t>
  </si>
  <si>
    <t>Bove et al., 2002</t>
  </si>
  <si>
    <t>Pygmy female (Biaka)</t>
  </si>
  <si>
    <t>Walker et al., n.d.</t>
  </si>
  <si>
    <t>Hill and Hurtado, 1996</t>
  </si>
  <si>
    <t>Migliano, 2005</t>
  </si>
  <si>
    <t>Early and Headland, 1998</t>
  </si>
  <si>
    <t>Yamauchi et al., 2000</t>
  </si>
  <si>
    <t>Eder, 1987; 1996</t>
  </si>
  <si>
    <t>Malcolm, 1970ab</t>
  </si>
  <si>
    <t>Wood et al., 1985; Wood, 1980; 1987</t>
  </si>
  <si>
    <t>Billington, 1948</t>
  </si>
  <si>
    <t>Hamilton, 1981; Hiatt, 1965</t>
  </si>
  <si>
    <t>Blurton Jones, n.d.</t>
  </si>
  <si>
    <t>Hurtado and Hill, 1987</t>
  </si>
  <si>
    <t>Kaplan et al., 2000</t>
  </si>
  <si>
    <t>Howell, 1979</t>
  </si>
  <si>
    <t>Walker, 2004</t>
  </si>
  <si>
    <t>van de Koppel, 1983; van de Koppel and Hewlett, 1986</t>
  </si>
  <si>
    <t>Cavalli-Sforza, 1986; Bahuchet, 1979</t>
  </si>
  <si>
    <t>Little et al., 1983</t>
  </si>
  <si>
    <t>Abbie, 1957; 1961</t>
  </si>
  <si>
    <t>Meggitt, 1962</t>
  </si>
  <si>
    <t>Hames, Chagnon and Oliver</t>
  </si>
  <si>
    <t>and life history data</t>
  </si>
  <si>
    <t>Seri</t>
  </si>
  <si>
    <t>Neel and Weiss, 1975</t>
  </si>
  <si>
    <t>De Souza, n.d.</t>
  </si>
  <si>
    <t>km2</t>
  </si>
  <si>
    <t>people/km2</t>
  </si>
  <si>
    <t>Borgerhoff-Mulder 1988 but values are different in table</t>
  </si>
  <si>
    <t>Endicott 1988</t>
  </si>
  <si>
    <t>Blurton Jones et al., 1992; Marlowe, 2004</t>
  </si>
  <si>
    <t>Sugiyama, 2004; Boesch and Boesch, 2000</t>
  </si>
  <si>
    <t>Sellen; Borgerhoff-Mulder 1992</t>
  </si>
  <si>
    <t>Year(s) of</t>
  </si>
  <si>
    <t>growth data</t>
  </si>
  <si>
    <t>1980s</t>
  </si>
  <si>
    <t>Venezuela/</t>
  </si>
  <si>
    <t>weaning</t>
  </si>
  <si>
    <t>best estimate</t>
  </si>
  <si>
    <t>mo</t>
  </si>
  <si>
    <t>pop 2485 or 24000</t>
  </si>
  <si>
    <t>Agta (Isabela) female</t>
  </si>
  <si>
    <t>Agta (Isabela) male</t>
  </si>
  <si>
    <t>Gunwiggu male</t>
  </si>
  <si>
    <t>Gunwiggu female</t>
  </si>
  <si>
    <t>Mirrngadja female</t>
  </si>
  <si>
    <t>Mirrngadja male</t>
  </si>
  <si>
    <t>Shompen female</t>
  </si>
  <si>
    <t>Shompen male</t>
  </si>
  <si>
    <t>Sivokamiut Inuit female</t>
  </si>
  <si>
    <t>Sivokamiut Inuit male</t>
  </si>
  <si>
    <t>Tareumiut Inuit female</t>
  </si>
  <si>
    <t>Tareumiut Inuit male</t>
  </si>
  <si>
    <t>Yavapai female</t>
  </si>
  <si>
    <t>Yavapai male</t>
  </si>
  <si>
    <t>sex</t>
  </si>
  <si>
    <t>bmi</t>
  </si>
  <si>
    <t>l15l5</t>
  </si>
  <si>
    <t>reserve is 1566.08 ha</t>
  </si>
  <si>
    <t>spurt8,11,14</t>
  </si>
  <si>
    <t>spurt10,13,14</t>
  </si>
  <si>
    <t>spurt 8/12.5</t>
  </si>
  <si>
    <t>spurt 9/123</t>
  </si>
  <si>
    <t>.62 l15 is for anbarra, afr is from arhem land. See binford</t>
  </si>
  <si>
    <t>21 ibi omitted</t>
  </si>
  <si>
    <t>early/peters ibi=38.4 l15=..69f, .79m, e15 38.1, e0=38.5f 40.5m, menarche 12.4, tfr=7.9</t>
  </si>
  <si>
    <t>Melancon, 1982; Neel and Weiss, 1975</t>
  </si>
  <si>
    <t>menarche is a guess!</t>
  </si>
  <si>
    <t>Asmat</t>
  </si>
  <si>
    <t>Coastal</t>
  </si>
  <si>
    <t>van Arsdale, 1978</t>
  </si>
  <si>
    <t>Irian Jaya</t>
  </si>
  <si>
    <t>Gray, 1994; Leslie et al., 1999</t>
  </si>
  <si>
    <t>%deaths illness</t>
  </si>
  <si>
    <t>violence</t>
  </si>
  <si>
    <t>%deaths accidents/</t>
  </si>
  <si>
    <t>ln(wage10/wage3)/7</t>
  </si>
  <si>
    <t>ln(wage10/wage5)/5</t>
  </si>
  <si>
    <t>Yanomamo</t>
  </si>
  <si>
    <t>Ju'/hoansi</t>
  </si>
  <si>
    <t>Kaplan</t>
  </si>
  <si>
    <t>31.3, 35.2</t>
  </si>
  <si>
    <t>39.0, 42.0</t>
  </si>
  <si>
    <t>1.25, 1.19</t>
  </si>
  <si>
    <t>age</t>
  </si>
  <si>
    <t>.58 survival both sexes in kaplan et al. 2000</t>
  </si>
  <si>
    <t>Surui female</t>
  </si>
  <si>
    <t>Surui male</t>
  </si>
  <si>
    <t>Bofi male</t>
  </si>
  <si>
    <t>Bofi female forager</t>
  </si>
  <si>
    <t>Bofi female farmer</t>
  </si>
  <si>
    <t>Bofi</t>
  </si>
  <si>
    <t>Fouts et al., 2005</t>
  </si>
  <si>
    <t>year contact</t>
  </si>
  <si>
    <t>years since</t>
  </si>
  <si>
    <t>contact</t>
  </si>
  <si>
    <t>alpha M</t>
  </si>
  <si>
    <t>wt age 3/adult wt</t>
  </si>
  <si>
    <t>Cavalli-Sforza, 1986; Ichikawa, 1978; Migliano, 2005</t>
  </si>
  <si>
    <t>.8 early, .72 late</t>
  </si>
  <si>
    <t>Maya female</t>
  </si>
  <si>
    <t>Maya male</t>
  </si>
  <si>
    <t>Mexico</t>
  </si>
  <si>
    <t>1992-1993</t>
  </si>
  <si>
    <t>Forest /</t>
  </si>
  <si>
    <t>89 W / 80 H</t>
  </si>
  <si>
    <t>93 W / 81 H</t>
  </si>
  <si>
    <t>1987-1989</t>
  </si>
  <si>
    <t>95% CI</t>
  </si>
  <si>
    <t>19+</t>
  </si>
  <si>
    <t>child-juv growth rate</t>
  </si>
  <si>
    <t>for c-j</t>
  </si>
  <si>
    <t>Ache</t>
  </si>
  <si>
    <t>Aeta</t>
  </si>
  <si>
    <t>Agta</t>
  </si>
  <si>
    <t>Guaja</t>
  </si>
  <si>
    <t>Hadza</t>
  </si>
  <si>
    <t>Hiwi</t>
  </si>
  <si>
    <t>Tsimane</t>
  </si>
  <si>
    <t>Turkana</t>
  </si>
  <si>
    <t>Dietz et al., 1989; Schebesta 1933; 1938; 1957; Merimee et al., 1987; Bailey, personal communication</t>
  </si>
  <si>
    <t xml:space="preserve">rel size </t>
  </si>
  <si>
    <t>female</t>
  </si>
  <si>
    <t>male</t>
  </si>
  <si>
    <t>21 stable, 37 obs</t>
  </si>
  <si>
    <t>Pume male</t>
  </si>
  <si>
    <t>Pume female</t>
  </si>
  <si>
    <t>Piro female</t>
  </si>
  <si>
    <t>Piro male</t>
  </si>
  <si>
    <t>Machiguenga female</t>
  </si>
  <si>
    <t>Machiguenga male</t>
  </si>
  <si>
    <t>1/2 year</t>
  </si>
  <si>
    <t>Efe female old</t>
  </si>
  <si>
    <t>Efe male old</t>
  </si>
  <si>
    <t>1.8</t>
  </si>
  <si>
    <t>2.0</t>
  </si>
  <si>
    <t>68 H</t>
  </si>
  <si>
    <t>77 H</t>
  </si>
  <si>
    <t>Kadar</t>
  </si>
  <si>
    <t>India (Kerala)</t>
  </si>
  <si>
    <t>Hilly</t>
  </si>
  <si>
    <t>Mostly h-gs</t>
  </si>
  <si>
    <t>1957-8</t>
  </si>
  <si>
    <t>Kadar female</t>
  </si>
  <si>
    <t>Kadar male</t>
  </si>
  <si>
    <t>pop</t>
  </si>
  <si>
    <t>hg</t>
  </si>
  <si>
    <t>Batak</t>
  </si>
  <si>
    <t>Pygmy (E. Af.)</t>
  </si>
  <si>
    <t>Pygmy (W. Af.)</t>
  </si>
  <si>
    <t>Gainj</t>
  </si>
  <si>
    <t>Kutchin</t>
  </si>
  <si>
    <t>Bakairi</t>
  </si>
  <si>
    <t>Bare</t>
  </si>
  <si>
    <t>Gaviao</t>
  </si>
  <si>
    <t>Xavante.</t>
  </si>
  <si>
    <t>Zoró</t>
  </si>
  <si>
    <t>Wapixana</t>
  </si>
  <si>
    <t>Tukano</t>
  </si>
  <si>
    <t>Surui</t>
  </si>
  <si>
    <t>femwt</t>
  </si>
  <si>
    <t>20.5/17.9</t>
  </si>
  <si>
    <t>Shabar female</t>
  </si>
  <si>
    <t>Shabar male</t>
  </si>
  <si>
    <t>survival is calculated as number kids survived over total (dead plus survived)</t>
  </si>
  <si>
    <t>Wari female</t>
  </si>
  <si>
    <t>Wari male</t>
  </si>
  <si>
    <t>Evenki</t>
  </si>
  <si>
    <t>Ainu female</t>
  </si>
  <si>
    <t>Ainu male</t>
  </si>
  <si>
    <t xml:space="preserve">age at </t>
  </si>
  <si>
    <t>first marriage</t>
  </si>
  <si>
    <t>Batek male</t>
  </si>
  <si>
    <t>Andaman Islands male</t>
  </si>
  <si>
    <t>Hill Pandaram male</t>
  </si>
  <si>
    <t>Chenchu male</t>
  </si>
  <si>
    <t>Mbabri male</t>
  </si>
  <si>
    <t>Paliyan male</t>
  </si>
  <si>
    <t>Gilyak male</t>
  </si>
  <si>
    <t>Siberian Eskimo male</t>
  </si>
  <si>
    <t>Akuriyo male</t>
  </si>
  <si>
    <t>Nukak male</t>
  </si>
  <si>
    <t>Guato male</t>
  </si>
  <si>
    <t>Siriono male</t>
  </si>
  <si>
    <t>Nambiquara male</t>
  </si>
  <si>
    <t>Aweikomo male</t>
  </si>
  <si>
    <t>Tehuelche male</t>
  </si>
  <si>
    <t>Dorobo male</t>
  </si>
  <si>
    <t>Nharo male</t>
  </si>
  <si>
    <t>Auni (Khomani)</t>
  </si>
  <si>
    <t>Tiwi male</t>
  </si>
  <si>
    <t>Seri male</t>
  </si>
  <si>
    <t>kutchin hg male</t>
  </si>
  <si>
    <t>kutchin hg female</t>
  </si>
  <si>
    <t>Pitjantjatjara male</t>
  </si>
  <si>
    <t>w/ Ro from e15 and IBI</t>
  </si>
  <si>
    <t>w/ Ro from TFR</t>
  </si>
  <si>
    <t>r from census</t>
  </si>
  <si>
    <t>galdikas and wood 83, new IBI</t>
  </si>
  <si>
    <t>Amele female</t>
  </si>
  <si>
    <t>?</t>
  </si>
  <si>
    <t>rel ht</t>
  </si>
  <si>
    <t>CV weight</t>
  </si>
  <si>
    <t>CV weight N</t>
  </si>
  <si>
    <t>CV height</t>
  </si>
  <si>
    <t>CV height N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</si>
</sst>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0000"/>
  </numFmts>
  <fonts count="8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177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172" fontId="0" fillId="0" borderId="1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9" fontId="0" fillId="0" borderId="0" xfId="0" applyNumberFormat="1" applyFont="1" applyAlignment="1">
      <alignment horizontal="center"/>
    </xf>
    <xf numFmtId="1" fontId="0" fillId="2" borderId="0" xfId="0" applyNumberFormat="1" applyFont="1" applyFill="1" applyAlignment="1">
      <alignment horizontal="center"/>
    </xf>
    <xf numFmtId="172" fontId="0" fillId="3" borderId="0" xfId="0" applyNumberFormat="1" applyFont="1" applyFill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0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177" fontId="0" fillId="0" borderId="0" xfId="0" applyNumberFormat="1" applyFont="1" applyFill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 horizontal="left"/>
    </xf>
    <xf numFmtId="177" fontId="0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pane ySplit="1020" topLeftCell="BM1" activePane="bottomLeft" state="split"/>
      <selection pane="topLeft" activeCell="A1" sqref="A1:IV16384"/>
      <selection pane="bottomLeft" activeCell="A27" sqref="A27"/>
    </sheetView>
  </sheetViews>
  <sheetFormatPr defaultColWidth="9.140625" defaultRowHeight="12.75"/>
  <cols>
    <col min="1" max="1" width="22.8515625" style="2" customWidth="1"/>
    <col min="2" max="2" width="13.140625" style="0" customWidth="1"/>
    <col min="3" max="3" width="11.57421875" style="0" bestFit="1" customWidth="1"/>
    <col min="4" max="4" width="11.00390625" style="0" customWidth="1"/>
    <col min="5" max="5" width="13.00390625" style="0" customWidth="1"/>
    <col min="6" max="6" width="14.00390625" style="0" customWidth="1"/>
    <col min="7" max="7" width="13.421875" style="0" bestFit="1" customWidth="1"/>
    <col min="8" max="8" width="11.00390625" style="0" customWidth="1"/>
    <col min="9" max="9" width="19.7109375" style="0" customWidth="1"/>
  </cols>
  <sheetData>
    <row r="1" spans="1:8" ht="12.75">
      <c r="A1" s="3"/>
      <c r="B1" s="1"/>
      <c r="C1" s="1"/>
      <c r="D1" s="1"/>
      <c r="E1" s="5" t="s">
        <v>550</v>
      </c>
      <c r="F1" s="1" t="s">
        <v>0</v>
      </c>
      <c r="G1" s="1" t="s">
        <v>3</v>
      </c>
      <c r="H1" s="1"/>
    </row>
    <row r="2" spans="2:9" ht="12.75">
      <c r="B2" s="1"/>
      <c r="C2" s="1"/>
      <c r="D2" s="1"/>
      <c r="E2" s="1" t="s">
        <v>551</v>
      </c>
      <c r="F2" s="8" t="s">
        <v>1</v>
      </c>
      <c r="G2" s="1" t="s">
        <v>57</v>
      </c>
      <c r="H2" s="1" t="s">
        <v>176</v>
      </c>
      <c r="I2" s="1" t="s">
        <v>191</v>
      </c>
    </row>
    <row r="3" spans="1:9" ht="12.75">
      <c r="A3" s="50" t="s">
        <v>507</v>
      </c>
      <c r="B3" s="18" t="s">
        <v>53</v>
      </c>
      <c r="C3" s="18" t="s">
        <v>215</v>
      </c>
      <c r="D3" s="18" t="s">
        <v>210</v>
      </c>
      <c r="E3" s="4" t="s">
        <v>2</v>
      </c>
      <c r="F3" s="35" t="s">
        <v>43</v>
      </c>
      <c r="G3" s="4" t="s">
        <v>24</v>
      </c>
      <c r="H3" s="4" t="s">
        <v>514</v>
      </c>
      <c r="I3" s="4" t="s">
        <v>539</v>
      </c>
    </row>
    <row r="4" spans="1:9" ht="12.75">
      <c r="A4" s="2" t="s">
        <v>4</v>
      </c>
      <c r="B4" s="9" t="s">
        <v>46</v>
      </c>
      <c r="C4" s="2" t="s">
        <v>498</v>
      </c>
      <c r="D4" s="2" t="s">
        <v>450</v>
      </c>
      <c r="E4" s="1" t="s">
        <v>77</v>
      </c>
      <c r="F4" s="1" t="s">
        <v>59</v>
      </c>
      <c r="G4" s="6" t="s">
        <v>58</v>
      </c>
      <c r="H4" s="6" t="s">
        <v>177</v>
      </c>
      <c r="I4" t="s">
        <v>518</v>
      </c>
    </row>
    <row r="5" spans="1:9" ht="12.75">
      <c r="A5" s="2" t="s">
        <v>5</v>
      </c>
      <c r="B5" s="2"/>
      <c r="C5" s="2" t="s">
        <v>510</v>
      </c>
      <c r="D5" s="2" t="s">
        <v>451</v>
      </c>
      <c r="E5" s="1" t="s">
        <v>69</v>
      </c>
      <c r="F5" s="1" t="s">
        <v>60</v>
      </c>
      <c r="G5" s="6" t="s">
        <v>61</v>
      </c>
      <c r="H5" s="6"/>
      <c r="I5" t="s">
        <v>519</v>
      </c>
    </row>
    <row r="6" spans="1:9" ht="12.75">
      <c r="A6" s="13" t="s">
        <v>292</v>
      </c>
      <c r="B6" s="2" t="s">
        <v>321</v>
      </c>
      <c r="C6" s="2" t="s">
        <v>211</v>
      </c>
      <c r="D6" s="2" t="s">
        <v>486</v>
      </c>
      <c r="E6" s="1" t="s">
        <v>44</v>
      </c>
      <c r="F6" s="1">
        <v>214</v>
      </c>
      <c r="G6" s="6" t="s">
        <v>62</v>
      </c>
      <c r="H6" s="6" t="s">
        <v>178</v>
      </c>
      <c r="I6" s="28" t="s">
        <v>520</v>
      </c>
    </row>
    <row r="7" spans="1:8" ht="12.75">
      <c r="A7" s="13" t="s">
        <v>293</v>
      </c>
      <c r="B7" s="2" t="s">
        <v>329</v>
      </c>
      <c r="C7" s="2" t="s">
        <v>510</v>
      </c>
      <c r="D7" s="2"/>
      <c r="E7" s="1"/>
      <c r="F7" s="1">
        <v>151</v>
      </c>
      <c r="G7" s="6" t="s">
        <v>62</v>
      </c>
      <c r="H7" s="6"/>
    </row>
    <row r="8" spans="1:10" ht="12.75">
      <c r="A8" s="13" t="s">
        <v>192</v>
      </c>
      <c r="B8" s="2" t="s">
        <v>321</v>
      </c>
      <c r="C8" s="2" t="s">
        <v>211</v>
      </c>
      <c r="D8" s="2" t="s">
        <v>486</v>
      </c>
      <c r="E8" s="1">
        <v>2002</v>
      </c>
      <c r="F8" s="1">
        <v>86</v>
      </c>
      <c r="G8" s="6" t="s">
        <v>62</v>
      </c>
      <c r="H8" s="6" t="s">
        <v>179</v>
      </c>
      <c r="I8" s="28" t="s">
        <v>542</v>
      </c>
      <c r="J8" s="13"/>
    </row>
    <row r="9" spans="1:9" ht="12.75">
      <c r="A9" s="13" t="s">
        <v>193</v>
      </c>
      <c r="B9" s="2" t="s">
        <v>329</v>
      </c>
      <c r="C9" s="2" t="s">
        <v>510</v>
      </c>
      <c r="D9" s="2"/>
      <c r="E9" s="1"/>
      <c r="F9" s="1">
        <v>69</v>
      </c>
      <c r="G9" s="6" t="s">
        <v>62</v>
      </c>
      <c r="H9" s="6"/>
      <c r="I9" t="s">
        <v>521</v>
      </c>
    </row>
    <row r="10" spans="1:9" ht="12.75">
      <c r="A10" s="13" t="s">
        <v>472</v>
      </c>
      <c r="B10" s="2" t="s">
        <v>94</v>
      </c>
      <c r="C10" s="2" t="s">
        <v>469</v>
      </c>
      <c r="D10" s="2" t="s">
        <v>450</v>
      </c>
      <c r="E10" s="1" t="s">
        <v>471</v>
      </c>
      <c r="F10" s="1" t="s">
        <v>470</v>
      </c>
      <c r="G10" s="6" t="s">
        <v>62</v>
      </c>
      <c r="H10" s="6" t="s">
        <v>421</v>
      </c>
      <c r="I10" t="s">
        <v>526</v>
      </c>
    </row>
    <row r="11" spans="1:9" ht="12.75">
      <c r="A11" s="13" t="s">
        <v>473</v>
      </c>
      <c r="B11" s="2"/>
      <c r="C11" s="2" t="s">
        <v>420</v>
      </c>
      <c r="D11" s="2" t="s">
        <v>451</v>
      </c>
      <c r="E11" s="1"/>
      <c r="F11" s="1"/>
      <c r="G11" s="6" t="s">
        <v>62</v>
      </c>
      <c r="H11" s="6"/>
      <c r="I11" t="s">
        <v>527</v>
      </c>
    </row>
    <row r="12" spans="1:9" ht="12.75">
      <c r="A12" s="2" t="s">
        <v>585</v>
      </c>
      <c r="B12" s="2" t="s">
        <v>588</v>
      </c>
      <c r="C12" s="2" t="s">
        <v>586</v>
      </c>
      <c r="D12" t="s">
        <v>214</v>
      </c>
      <c r="F12" s="1"/>
      <c r="G12" s="6"/>
      <c r="H12" s="1"/>
      <c r="I12" t="s">
        <v>587</v>
      </c>
    </row>
    <row r="13" spans="1:9" ht="12.75">
      <c r="A13" s="13" t="s">
        <v>506</v>
      </c>
      <c r="B13" s="2" t="s">
        <v>102</v>
      </c>
      <c r="C13" s="2" t="s">
        <v>211</v>
      </c>
      <c r="D13" s="2" t="s">
        <v>214</v>
      </c>
      <c r="E13" s="1">
        <v>1996</v>
      </c>
      <c r="F13" s="1" t="s">
        <v>116</v>
      </c>
      <c r="G13" s="6" t="s">
        <v>62</v>
      </c>
      <c r="H13" s="1" t="s">
        <v>421</v>
      </c>
      <c r="I13" s="2" t="s">
        <v>522</v>
      </c>
    </row>
    <row r="14" spans="1:8" ht="12.75">
      <c r="A14" s="13" t="s">
        <v>115</v>
      </c>
      <c r="B14" s="2"/>
      <c r="C14" s="2" t="s">
        <v>510</v>
      </c>
      <c r="D14" s="2"/>
      <c r="E14" s="1"/>
      <c r="F14" s="1" t="s">
        <v>117</v>
      </c>
      <c r="G14" s="6" t="s">
        <v>62</v>
      </c>
      <c r="H14" s="6"/>
    </row>
    <row r="15" spans="1:9" ht="12.75">
      <c r="A15" s="13" t="s">
        <v>152</v>
      </c>
      <c r="B15" s="2" t="s">
        <v>321</v>
      </c>
      <c r="C15" s="2" t="s">
        <v>211</v>
      </c>
      <c r="D15" s="2" t="s">
        <v>486</v>
      </c>
      <c r="E15" s="1" t="s">
        <v>323</v>
      </c>
      <c r="F15" s="1">
        <v>36</v>
      </c>
      <c r="G15" s="1">
        <v>1</v>
      </c>
      <c r="H15" s="1" t="s">
        <v>178</v>
      </c>
      <c r="I15" s="28" t="s">
        <v>520</v>
      </c>
    </row>
    <row r="16" spans="1:9" ht="12.75">
      <c r="A16" s="13" t="s">
        <v>153</v>
      </c>
      <c r="B16" s="2" t="s">
        <v>328</v>
      </c>
      <c r="C16" s="2" t="s">
        <v>510</v>
      </c>
      <c r="F16" s="1" t="s">
        <v>283</v>
      </c>
      <c r="G16" s="1"/>
      <c r="I16" t="s">
        <v>523</v>
      </c>
    </row>
    <row r="17" spans="1:9" s="17" customFormat="1" ht="12.75">
      <c r="A17" s="13" t="s">
        <v>453</v>
      </c>
      <c r="B17" s="17" t="s">
        <v>141</v>
      </c>
      <c r="C17" s="17" t="s">
        <v>501</v>
      </c>
      <c r="D17" s="17" t="s">
        <v>452</v>
      </c>
      <c r="E17" s="5" t="s">
        <v>449</v>
      </c>
      <c r="F17" s="5">
        <f>55+47</f>
        <v>102</v>
      </c>
      <c r="G17" s="5">
        <v>1</v>
      </c>
      <c r="H17" s="5" t="s">
        <v>421</v>
      </c>
      <c r="I17" s="17" t="s">
        <v>524</v>
      </c>
    </row>
    <row r="18" spans="1:9" s="17" customFormat="1" ht="12.75">
      <c r="A18" s="13" t="s">
        <v>454</v>
      </c>
      <c r="F18" s="5">
        <v>151</v>
      </c>
      <c r="G18" s="5">
        <v>1</v>
      </c>
      <c r="I18" s="17" t="s">
        <v>525</v>
      </c>
    </row>
    <row r="19" spans="1:9" ht="12.75">
      <c r="A19" s="13" t="s">
        <v>339</v>
      </c>
      <c r="B19" s="2" t="s">
        <v>49</v>
      </c>
      <c r="C19" s="2" t="s">
        <v>498</v>
      </c>
      <c r="D19" s="2" t="s">
        <v>214</v>
      </c>
      <c r="E19" s="1">
        <v>2005</v>
      </c>
      <c r="F19" s="1" t="s">
        <v>340</v>
      </c>
      <c r="G19" s="6" t="s">
        <v>62</v>
      </c>
      <c r="H19" s="6" t="s">
        <v>177</v>
      </c>
      <c r="I19" t="s">
        <v>88</v>
      </c>
    </row>
    <row r="20" spans="1:8" ht="12.75">
      <c r="A20" s="13" t="s">
        <v>338</v>
      </c>
      <c r="B20" s="2"/>
      <c r="C20" s="2" t="s">
        <v>510</v>
      </c>
      <c r="D20" s="2"/>
      <c r="E20" s="1"/>
      <c r="F20" s="1" t="s">
        <v>341</v>
      </c>
      <c r="G20" s="6" t="s">
        <v>62</v>
      </c>
      <c r="H20" s="6"/>
    </row>
    <row r="21" spans="1:10" s="17" customFormat="1" ht="12.75" customHeight="1">
      <c r="A21" s="13" t="s">
        <v>6</v>
      </c>
      <c r="B21" s="25" t="s">
        <v>47</v>
      </c>
      <c r="C21" s="25" t="s">
        <v>240</v>
      </c>
      <c r="D21" s="25" t="s">
        <v>214</v>
      </c>
      <c r="E21" s="5" t="s">
        <v>552</v>
      </c>
      <c r="F21" s="1" t="s">
        <v>470</v>
      </c>
      <c r="G21" s="14" t="s">
        <v>181</v>
      </c>
      <c r="H21" s="14" t="s">
        <v>178</v>
      </c>
      <c r="I21" s="17" t="s">
        <v>528</v>
      </c>
      <c r="J21" s="26"/>
    </row>
    <row r="22" spans="1:12" ht="12.75">
      <c r="A22" s="13" t="s">
        <v>7</v>
      </c>
      <c r="B22" s="2"/>
      <c r="C22" s="2" t="s">
        <v>212</v>
      </c>
      <c r="D22" s="2"/>
      <c r="E22" s="1"/>
      <c r="F22" s="53"/>
      <c r="G22" s="6" t="s">
        <v>181</v>
      </c>
      <c r="H22" s="6"/>
      <c r="I22" s="2" t="s">
        <v>547</v>
      </c>
      <c r="L22" t="s">
        <v>267</v>
      </c>
    </row>
    <row r="23" spans="1:9" ht="12.75">
      <c r="A23" s="13" t="s">
        <v>8</v>
      </c>
      <c r="B23" s="9" t="s">
        <v>48</v>
      </c>
      <c r="C23" s="9" t="s">
        <v>240</v>
      </c>
      <c r="D23" s="9" t="s">
        <v>214</v>
      </c>
      <c r="E23" s="1" t="s">
        <v>22</v>
      </c>
      <c r="F23" s="1">
        <v>22</v>
      </c>
      <c r="G23" s="6" t="s">
        <v>63</v>
      </c>
      <c r="H23" s="6" t="s">
        <v>179</v>
      </c>
      <c r="I23" t="s">
        <v>529</v>
      </c>
    </row>
    <row r="24" spans="1:9" ht="12.75">
      <c r="A24" s="13" t="s">
        <v>9</v>
      </c>
      <c r="B24" s="2"/>
      <c r="C24" s="2" t="s">
        <v>213</v>
      </c>
      <c r="D24" s="2"/>
      <c r="E24" s="1"/>
      <c r="F24" s="1">
        <v>37</v>
      </c>
      <c r="G24" s="6" t="s">
        <v>64</v>
      </c>
      <c r="H24" s="6"/>
      <c r="I24" s="2" t="s">
        <v>530</v>
      </c>
    </row>
    <row r="25" spans="1:9" ht="12.75">
      <c r="A25" s="13" t="s">
        <v>11</v>
      </c>
      <c r="B25" s="9" t="s">
        <v>513</v>
      </c>
      <c r="C25" s="9" t="s">
        <v>238</v>
      </c>
      <c r="D25" s="9" t="s">
        <v>214</v>
      </c>
      <c r="E25" s="1" t="s">
        <v>23</v>
      </c>
      <c r="F25" s="1">
        <v>154</v>
      </c>
      <c r="G25" s="6" t="s">
        <v>65</v>
      </c>
      <c r="H25" s="6" t="s">
        <v>180</v>
      </c>
      <c r="I25" t="s">
        <v>531</v>
      </c>
    </row>
    <row r="26" spans="1:9" ht="12.75">
      <c r="A26" s="13" t="s">
        <v>10</v>
      </c>
      <c r="B26" s="2" t="s">
        <v>52</v>
      </c>
      <c r="C26" s="2" t="s">
        <v>239</v>
      </c>
      <c r="D26" s="2"/>
      <c r="E26" s="1"/>
      <c r="F26" s="1">
        <v>124</v>
      </c>
      <c r="G26" s="6" t="s">
        <v>66</v>
      </c>
      <c r="H26" s="6"/>
      <c r="I26" s="1"/>
    </row>
    <row r="27" spans="1:9" ht="12.75">
      <c r="A27" s="13" t="s">
        <v>203</v>
      </c>
      <c r="B27" s="10" t="s">
        <v>49</v>
      </c>
      <c r="C27" s="2" t="s">
        <v>498</v>
      </c>
      <c r="D27" s="2" t="s">
        <v>450</v>
      </c>
      <c r="E27" s="1">
        <v>2003</v>
      </c>
      <c r="F27" s="1">
        <v>39</v>
      </c>
      <c r="G27" s="6" t="s">
        <v>62</v>
      </c>
      <c r="H27" s="6" t="s">
        <v>178</v>
      </c>
      <c r="I27" t="s">
        <v>532</v>
      </c>
    </row>
    <row r="28" spans="1:9" ht="12.75">
      <c r="A28" s="13" t="s">
        <v>204</v>
      </c>
      <c r="B28" s="2"/>
      <c r="C28" s="2" t="s">
        <v>510</v>
      </c>
      <c r="D28" s="2" t="s">
        <v>451</v>
      </c>
      <c r="E28" s="1"/>
      <c r="F28" s="1">
        <v>58</v>
      </c>
      <c r="G28" s="6" t="s">
        <v>62</v>
      </c>
      <c r="H28" s="6"/>
      <c r="I28" s="1"/>
    </row>
    <row r="29" spans="1:9" ht="12.75">
      <c r="A29" s="13" t="s">
        <v>617</v>
      </c>
      <c r="B29" s="2" t="s">
        <v>619</v>
      </c>
      <c r="C29" s="2" t="s">
        <v>621</v>
      </c>
      <c r="D29" s="2" t="s">
        <v>452</v>
      </c>
      <c r="E29" s="1" t="s">
        <v>620</v>
      </c>
      <c r="F29" s="1" t="s">
        <v>623</v>
      </c>
      <c r="G29" s="6" t="s">
        <v>62</v>
      </c>
      <c r="H29" s="6" t="s">
        <v>178</v>
      </c>
      <c r="I29" s="2" t="s">
        <v>99</v>
      </c>
    </row>
    <row r="30" spans="1:9" ht="12.75">
      <c r="A30" s="13" t="s">
        <v>618</v>
      </c>
      <c r="B30" s="2"/>
      <c r="C30" s="2" t="s">
        <v>495</v>
      </c>
      <c r="D30" s="2"/>
      <c r="E30" s="1"/>
      <c r="F30" s="1" t="s">
        <v>622</v>
      </c>
      <c r="G30" s="6" t="s">
        <v>62</v>
      </c>
      <c r="H30" s="6"/>
      <c r="I30" s="1"/>
    </row>
    <row r="31" spans="1:9" ht="12.75">
      <c r="A31" s="49" t="s">
        <v>646</v>
      </c>
      <c r="B31" s="2" t="s">
        <v>162</v>
      </c>
      <c r="C31" s="2" t="s">
        <v>498</v>
      </c>
      <c r="D31" s="2" t="s">
        <v>450</v>
      </c>
      <c r="E31" s="1" t="s">
        <v>624</v>
      </c>
      <c r="F31" s="1">
        <v>31</v>
      </c>
      <c r="G31" s="6" t="s">
        <v>62</v>
      </c>
      <c r="H31" s="6" t="s">
        <v>177</v>
      </c>
      <c r="I31" s="2" t="s">
        <v>597</v>
      </c>
    </row>
    <row r="32" spans="1:9" ht="12.75">
      <c r="A32" s="49" t="s">
        <v>647</v>
      </c>
      <c r="B32" s="2"/>
      <c r="C32" s="2" t="s">
        <v>510</v>
      </c>
      <c r="D32" s="2" t="s">
        <v>451</v>
      </c>
      <c r="E32" s="1"/>
      <c r="F32" s="1">
        <v>31</v>
      </c>
      <c r="G32" s="6" t="s">
        <v>62</v>
      </c>
      <c r="H32" s="6"/>
      <c r="I32" s="2"/>
    </row>
    <row r="33" spans="1:9" ht="12.75">
      <c r="A33" s="49" t="s">
        <v>644</v>
      </c>
      <c r="B33" s="2" t="s">
        <v>162</v>
      </c>
      <c r="C33" s="2" t="s">
        <v>498</v>
      </c>
      <c r="D33" s="2" t="s">
        <v>450</v>
      </c>
      <c r="E33" s="1">
        <v>1989</v>
      </c>
      <c r="F33" s="1"/>
      <c r="G33" s="6"/>
      <c r="H33" s="6" t="s">
        <v>648</v>
      </c>
      <c r="I33" s="2" t="s">
        <v>597</v>
      </c>
    </row>
    <row r="34" spans="1:9" ht="12.75">
      <c r="A34" s="49" t="s">
        <v>645</v>
      </c>
      <c r="B34" s="2"/>
      <c r="C34" s="2" t="s">
        <v>510</v>
      </c>
      <c r="D34" s="2" t="s">
        <v>451</v>
      </c>
      <c r="E34" s="1"/>
      <c r="F34" s="1"/>
      <c r="G34" s="6"/>
      <c r="H34" s="6"/>
      <c r="I34" s="2"/>
    </row>
    <row r="35" spans="1:9" ht="12.75">
      <c r="A35" s="13" t="s">
        <v>505</v>
      </c>
      <c r="B35" s="2" t="s">
        <v>511</v>
      </c>
      <c r="C35" s="10" t="s">
        <v>211</v>
      </c>
      <c r="D35" s="9" t="s">
        <v>214</v>
      </c>
      <c r="E35" s="1" t="s">
        <v>508</v>
      </c>
      <c r="F35" s="1" t="s">
        <v>653</v>
      </c>
      <c r="G35" s="6" t="s">
        <v>651</v>
      </c>
      <c r="H35" s="6" t="s">
        <v>648</v>
      </c>
      <c r="I35" s="28" t="s">
        <v>637</v>
      </c>
    </row>
    <row r="36" spans="1:9" ht="12.75">
      <c r="A36" s="13" t="s">
        <v>322</v>
      </c>
      <c r="B36" s="2" t="s">
        <v>512</v>
      </c>
      <c r="C36" s="2" t="s">
        <v>510</v>
      </c>
      <c r="D36" s="2"/>
      <c r="E36" s="1"/>
      <c r="F36" s="1" t="s">
        <v>654</v>
      </c>
      <c r="G36" s="6" t="s">
        <v>652</v>
      </c>
      <c r="H36" s="6"/>
      <c r="I36" s="2" t="s">
        <v>615</v>
      </c>
    </row>
    <row r="37" spans="1:9" ht="12.75">
      <c r="A37" s="13" t="s">
        <v>517</v>
      </c>
      <c r="B37" s="2" t="s">
        <v>503</v>
      </c>
      <c r="C37" s="10" t="s">
        <v>211</v>
      </c>
      <c r="D37" s="9" t="s">
        <v>214</v>
      </c>
      <c r="E37" s="1" t="s">
        <v>324</v>
      </c>
      <c r="F37" s="1" t="s">
        <v>326</v>
      </c>
      <c r="G37" s="6" t="s">
        <v>427</v>
      </c>
      <c r="H37" s="1" t="s">
        <v>421</v>
      </c>
      <c r="I37" s="28" t="s">
        <v>533</v>
      </c>
    </row>
    <row r="38" spans="1:9" ht="12.75">
      <c r="A38" s="13" t="s">
        <v>322</v>
      </c>
      <c r="B38" s="2" t="s">
        <v>504</v>
      </c>
      <c r="C38" s="2" t="s">
        <v>510</v>
      </c>
      <c r="D38" s="2"/>
      <c r="E38" s="1"/>
      <c r="F38" s="1" t="s">
        <v>325</v>
      </c>
      <c r="G38" s="6" t="s">
        <v>427</v>
      </c>
      <c r="H38" s="6"/>
      <c r="I38" s="2" t="s">
        <v>534</v>
      </c>
    </row>
    <row r="39" spans="1:9" ht="12.75">
      <c r="A39" s="13" t="s">
        <v>483</v>
      </c>
      <c r="B39" s="2" t="s">
        <v>485</v>
      </c>
      <c r="C39" s="2" t="s">
        <v>240</v>
      </c>
      <c r="D39" s="2" t="s">
        <v>486</v>
      </c>
      <c r="E39" s="1">
        <v>2003</v>
      </c>
      <c r="F39" s="1" t="s">
        <v>496</v>
      </c>
      <c r="G39" s="6" t="s">
        <v>62</v>
      </c>
      <c r="H39" s="6" t="s">
        <v>177</v>
      </c>
      <c r="I39" s="2" t="s">
        <v>515</v>
      </c>
    </row>
    <row r="40" spans="1:9" ht="12.75">
      <c r="A40" s="13" t="s">
        <v>484</v>
      </c>
      <c r="B40" s="2"/>
      <c r="C40" s="2" t="s">
        <v>502</v>
      </c>
      <c r="D40" s="2"/>
      <c r="E40" s="1"/>
      <c r="F40" s="1" t="s">
        <v>497</v>
      </c>
      <c r="G40" s="6" t="s">
        <v>62</v>
      </c>
      <c r="H40" s="6"/>
      <c r="I40" s="54" t="s">
        <v>516</v>
      </c>
    </row>
    <row r="41" spans="1:9" ht="12.75">
      <c r="A41" s="13" t="s">
        <v>39</v>
      </c>
      <c r="B41" s="10" t="s">
        <v>45</v>
      </c>
      <c r="C41" s="2" t="s">
        <v>498</v>
      </c>
      <c r="D41" s="2" t="s">
        <v>450</v>
      </c>
      <c r="E41" s="1" t="s">
        <v>44</v>
      </c>
      <c r="F41" s="1">
        <v>238</v>
      </c>
      <c r="G41" s="6" t="s">
        <v>62</v>
      </c>
      <c r="H41" s="6" t="s">
        <v>178</v>
      </c>
      <c r="I41" t="s">
        <v>42</v>
      </c>
    </row>
    <row r="42" spans="1:9" ht="12.75">
      <c r="A42" s="2" t="s">
        <v>40</v>
      </c>
      <c r="B42" s="2"/>
      <c r="C42" s="2" t="s">
        <v>510</v>
      </c>
      <c r="D42" s="2" t="s">
        <v>451</v>
      </c>
      <c r="E42" s="1"/>
      <c r="F42" s="1">
        <v>265</v>
      </c>
      <c r="G42" s="6" t="s">
        <v>62</v>
      </c>
      <c r="H42" s="6"/>
      <c r="I42" s="1"/>
    </row>
    <row r="43" spans="1:9" ht="12.75">
      <c r="A43" s="2" t="s">
        <v>304</v>
      </c>
      <c r="B43" t="s">
        <v>465</v>
      </c>
      <c r="C43" s="2" t="s">
        <v>495</v>
      </c>
      <c r="D43" s="2" t="s">
        <v>494</v>
      </c>
      <c r="E43" s="1" t="s">
        <v>509</v>
      </c>
      <c r="F43" s="1">
        <f>303-28-17</f>
        <v>258</v>
      </c>
      <c r="G43" s="1">
        <v>1</v>
      </c>
      <c r="H43" s="1" t="s">
        <v>178</v>
      </c>
      <c r="I43" t="s">
        <v>535</v>
      </c>
    </row>
    <row r="44" spans="1:9" ht="12.75">
      <c r="A44" s="2" t="s">
        <v>305</v>
      </c>
      <c r="F44" s="1">
        <f>240-81</f>
        <v>159</v>
      </c>
      <c r="G44" s="1">
        <v>1</v>
      </c>
      <c r="I44" t="s">
        <v>589</v>
      </c>
    </row>
    <row r="45" spans="1:9" ht="12.75">
      <c r="A45" s="2" t="s">
        <v>157</v>
      </c>
      <c r="B45" t="s">
        <v>94</v>
      </c>
      <c r="C45" s="10" t="s">
        <v>420</v>
      </c>
      <c r="D45" s="2" t="s">
        <v>214</v>
      </c>
      <c r="E45" s="1" t="s">
        <v>422</v>
      </c>
      <c r="F45" s="1">
        <v>41</v>
      </c>
      <c r="G45" s="1">
        <v>1</v>
      </c>
      <c r="H45" s="1" t="s">
        <v>421</v>
      </c>
      <c r="I45" t="s">
        <v>536</v>
      </c>
    </row>
    <row r="46" spans="1:9" ht="12.75">
      <c r="A46" s="2" t="s">
        <v>158</v>
      </c>
      <c r="B46" s="2"/>
      <c r="C46" s="2"/>
      <c r="D46" s="2"/>
      <c r="E46" s="1"/>
      <c r="F46" s="1">
        <v>80</v>
      </c>
      <c r="G46" s="6" t="s">
        <v>62</v>
      </c>
      <c r="H46" s="6"/>
      <c r="I46" s="54" t="s">
        <v>537</v>
      </c>
    </row>
    <row r="47" spans="1:9" ht="12.75">
      <c r="A47" s="2" t="s">
        <v>487</v>
      </c>
      <c r="B47" s="2" t="s">
        <v>485</v>
      </c>
      <c r="C47" s="2" t="s">
        <v>240</v>
      </c>
      <c r="D47" s="2" t="s">
        <v>486</v>
      </c>
      <c r="E47" s="1">
        <v>2005</v>
      </c>
      <c r="F47" s="1" t="s">
        <v>499</v>
      </c>
      <c r="G47" s="6" t="s">
        <v>62</v>
      </c>
      <c r="H47" s="6" t="s">
        <v>177</v>
      </c>
      <c r="I47" s="2" t="s">
        <v>493</v>
      </c>
    </row>
    <row r="48" spans="1:9" ht="12.75">
      <c r="A48" s="2" t="s">
        <v>492</v>
      </c>
      <c r="B48" s="2"/>
      <c r="C48" s="2" t="s">
        <v>502</v>
      </c>
      <c r="D48" s="2"/>
      <c r="E48" s="1"/>
      <c r="F48" s="1" t="s">
        <v>500</v>
      </c>
      <c r="G48" s="6" t="s">
        <v>62</v>
      </c>
      <c r="H48" s="6"/>
      <c r="I48" s="1"/>
    </row>
    <row r="49" spans="1:9" ht="12.75">
      <c r="A49" s="2" t="s">
        <v>139</v>
      </c>
      <c r="B49" s="2" t="s">
        <v>553</v>
      </c>
      <c r="C49" s="2" t="s">
        <v>498</v>
      </c>
      <c r="D49" s="2" t="s">
        <v>450</v>
      </c>
      <c r="E49" s="53">
        <v>1986</v>
      </c>
      <c r="F49" s="1">
        <v>46</v>
      </c>
      <c r="G49" s="6" t="s">
        <v>62</v>
      </c>
      <c r="H49" s="6" t="s">
        <v>178</v>
      </c>
      <c r="I49" s="2" t="s">
        <v>538</v>
      </c>
    </row>
    <row r="50" spans="1:9" ht="12.75">
      <c r="A50" s="2" t="s">
        <v>140</v>
      </c>
      <c r="B50" s="2" t="s">
        <v>49</v>
      </c>
      <c r="C50" s="2" t="s">
        <v>510</v>
      </c>
      <c r="D50" s="2" t="s">
        <v>451</v>
      </c>
      <c r="E50" s="53"/>
      <c r="F50" s="1">
        <v>70</v>
      </c>
      <c r="G50" s="6" t="s">
        <v>62</v>
      </c>
      <c r="H50" s="6"/>
      <c r="I50" s="2" t="s">
        <v>583</v>
      </c>
    </row>
    <row r="51" spans="2:9" ht="12.75">
      <c r="B51" s="2"/>
      <c r="C51" s="2"/>
      <c r="D51" s="2"/>
      <c r="E51" s="1"/>
      <c r="F51" s="1"/>
      <c r="G51" s="6"/>
      <c r="H51" s="6"/>
      <c r="I51" s="2"/>
    </row>
    <row r="54" spans="1:9" ht="12.75">
      <c r="A54" s="2" t="s">
        <v>36</v>
      </c>
      <c r="B54" s="2" t="s">
        <v>124</v>
      </c>
      <c r="C54" s="2" t="s">
        <v>118</v>
      </c>
      <c r="D54" s="2" t="s">
        <v>281</v>
      </c>
      <c r="E54" s="1" t="s">
        <v>38</v>
      </c>
      <c r="F54" s="7">
        <v>2627</v>
      </c>
      <c r="G54" s="6" t="s">
        <v>62</v>
      </c>
      <c r="H54" s="6" t="s">
        <v>177</v>
      </c>
      <c r="I54" t="s">
        <v>56</v>
      </c>
    </row>
    <row r="55" spans="1:9" ht="12.75">
      <c r="A55" s="2" t="s">
        <v>37</v>
      </c>
      <c r="B55" s="2"/>
      <c r="C55" s="2"/>
      <c r="D55" s="2"/>
      <c r="E55" s="1"/>
      <c r="F55" s="7">
        <v>2664</v>
      </c>
      <c r="G55" s="6" t="s">
        <v>62</v>
      </c>
      <c r="H55" s="6"/>
      <c r="I55" s="1"/>
    </row>
    <row r="56" spans="1:9" ht="12.75">
      <c r="A56" s="2" t="s">
        <v>205</v>
      </c>
      <c r="B56" s="2"/>
      <c r="C56" s="2"/>
      <c r="D56" s="2"/>
      <c r="E56" s="1"/>
      <c r="F56" s="7">
        <v>22</v>
      </c>
      <c r="G56" s="6" t="s">
        <v>181</v>
      </c>
      <c r="H56" s="6" t="s">
        <v>177</v>
      </c>
      <c r="I56" s="2" t="s">
        <v>190</v>
      </c>
    </row>
    <row r="57" spans="1:9" ht="12.75">
      <c r="A57" s="13" t="s">
        <v>206</v>
      </c>
      <c r="B57" s="2"/>
      <c r="C57" s="2"/>
      <c r="D57" s="2"/>
      <c r="E57" s="1"/>
      <c r="F57" s="7">
        <v>23</v>
      </c>
      <c r="G57" s="6" t="s">
        <v>181</v>
      </c>
      <c r="H57" s="6"/>
      <c r="I57" s="2" t="s">
        <v>548</v>
      </c>
    </row>
    <row r="58" spans="1:10" ht="12.75">
      <c r="A58" s="13" t="s">
        <v>480</v>
      </c>
      <c r="B58" s="2"/>
      <c r="C58" s="2"/>
      <c r="D58" s="2"/>
      <c r="E58" s="1"/>
      <c r="F58" s="7"/>
      <c r="G58" s="6"/>
      <c r="H58" s="6"/>
      <c r="I58" s="2" t="s">
        <v>481</v>
      </c>
      <c r="J58" t="s">
        <v>119</v>
      </c>
    </row>
    <row r="59" spans="1:9" ht="12.75">
      <c r="A59" s="13" t="s">
        <v>417</v>
      </c>
      <c r="B59" s="2"/>
      <c r="C59" s="2"/>
      <c r="D59" s="2"/>
      <c r="E59" s="1"/>
      <c r="F59" s="7"/>
      <c r="G59" s="6"/>
      <c r="H59" s="6"/>
      <c r="I59" s="2" t="s">
        <v>418</v>
      </c>
    </row>
    <row r="60" spans="1:9" ht="12.75">
      <c r="A60" s="13" t="s">
        <v>269</v>
      </c>
      <c r="B60" s="2"/>
      <c r="C60" s="2"/>
      <c r="D60" s="2"/>
      <c r="E60" s="1"/>
      <c r="F60" s="7"/>
      <c r="G60" s="6"/>
      <c r="H60" s="6"/>
      <c r="I60" s="2" t="s">
        <v>270</v>
      </c>
    </row>
    <row r="61" spans="1:9" ht="12.75">
      <c r="A61" s="13" t="s">
        <v>208</v>
      </c>
      <c r="B61" s="2"/>
      <c r="C61" s="2"/>
      <c r="D61" s="2"/>
      <c r="E61" s="1"/>
      <c r="F61" s="7"/>
      <c r="G61" s="6"/>
      <c r="H61" s="6"/>
      <c r="I61" t="s">
        <v>207</v>
      </c>
    </row>
    <row r="62" spans="1:8" ht="12.75">
      <c r="A62" s="2" t="s">
        <v>209</v>
      </c>
      <c r="B62" s="1"/>
      <c r="C62" s="1"/>
      <c r="D62" s="1"/>
      <c r="G62" s="1"/>
      <c r="H62" s="1"/>
    </row>
    <row r="63" spans="1:10" s="12" customFormat="1" ht="12.75">
      <c r="A63" s="11" t="s">
        <v>97</v>
      </c>
      <c r="B63" s="12" t="s">
        <v>107</v>
      </c>
      <c r="I63" s="12" t="s">
        <v>271</v>
      </c>
      <c r="J63" s="12" t="s">
        <v>119</v>
      </c>
    </row>
    <row r="64" spans="1:10" ht="12.75">
      <c r="A64" s="2" t="s">
        <v>78</v>
      </c>
      <c r="B64" t="s">
        <v>91</v>
      </c>
      <c r="E64" t="s">
        <v>92</v>
      </c>
      <c r="I64" t="s">
        <v>87</v>
      </c>
      <c r="J64" t="s">
        <v>119</v>
      </c>
    </row>
    <row r="65" spans="1:10" ht="12.75">
      <c r="A65" s="2" t="s">
        <v>82</v>
      </c>
      <c r="I65" t="s">
        <v>93</v>
      </c>
      <c r="J65" t="s">
        <v>119</v>
      </c>
    </row>
    <row r="66" spans="1:9" ht="12.75">
      <c r="A66" s="2" t="s">
        <v>261</v>
      </c>
      <c r="I66" t="s">
        <v>262</v>
      </c>
    </row>
    <row r="67" spans="1:10" ht="12.75">
      <c r="A67" s="2" t="s">
        <v>83</v>
      </c>
      <c r="I67" t="s">
        <v>86</v>
      </c>
      <c r="J67" t="s">
        <v>121</v>
      </c>
    </row>
    <row r="68" spans="1:10" s="12" customFormat="1" ht="12.75">
      <c r="A68" s="11" t="s">
        <v>80</v>
      </c>
      <c r="B68" s="12" t="s">
        <v>109</v>
      </c>
      <c r="E68" s="12" t="s">
        <v>316</v>
      </c>
      <c r="I68" s="12" t="s">
        <v>235</v>
      </c>
      <c r="J68" s="12" t="s">
        <v>121</v>
      </c>
    </row>
    <row r="69" spans="1:10" s="12" customFormat="1" ht="12.75">
      <c r="A69" s="11" t="s">
        <v>85</v>
      </c>
      <c r="I69" s="12" t="s">
        <v>84</v>
      </c>
      <c r="J69" s="12" t="s">
        <v>121</v>
      </c>
    </row>
    <row r="70" spans="1:9" ht="12.75">
      <c r="A70" s="2" t="s">
        <v>81</v>
      </c>
      <c r="I70" t="s">
        <v>346</v>
      </c>
    </row>
    <row r="71" spans="1:10" ht="12.75">
      <c r="A71" s="2" t="s">
        <v>89</v>
      </c>
      <c r="I71" t="s">
        <v>90</v>
      </c>
      <c r="J71" t="s">
        <v>121</v>
      </c>
    </row>
    <row r="72" spans="1:10" s="12" customFormat="1" ht="12.75">
      <c r="A72" s="11" t="s">
        <v>98</v>
      </c>
      <c r="I72" s="12" t="s">
        <v>99</v>
      </c>
      <c r="J72" s="12" t="s">
        <v>119</v>
      </c>
    </row>
    <row r="73" spans="1:10" ht="12.75">
      <c r="A73" s="2" t="s">
        <v>100</v>
      </c>
      <c r="I73" t="s">
        <v>99</v>
      </c>
      <c r="J73" t="s">
        <v>119</v>
      </c>
    </row>
    <row r="74" spans="1:10" ht="12.75">
      <c r="A74" s="2" t="s">
        <v>101</v>
      </c>
      <c r="B74" t="s">
        <v>107</v>
      </c>
      <c r="E74" t="s">
        <v>317</v>
      </c>
      <c r="I74" t="s">
        <v>174</v>
      </c>
      <c r="J74" t="s">
        <v>413</v>
      </c>
    </row>
    <row r="75" spans="1:2" ht="12.75">
      <c r="A75" s="2" t="s">
        <v>103</v>
      </c>
      <c r="B75" t="s">
        <v>108</v>
      </c>
    </row>
    <row r="76" spans="1:10" s="12" customFormat="1" ht="12.75">
      <c r="A76" s="11" t="s">
        <v>104</v>
      </c>
      <c r="B76" s="12" t="s">
        <v>102</v>
      </c>
      <c r="I76" s="12" t="s">
        <v>120</v>
      </c>
      <c r="J76" s="12" t="s">
        <v>119</v>
      </c>
    </row>
    <row r="77" spans="1:10" ht="12.75">
      <c r="A77" s="2" t="s">
        <v>105</v>
      </c>
      <c r="I77" t="s">
        <v>106</v>
      </c>
      <c r="J77" t="s">
        <v>119</v>
      </c>
    </row>
    <row r="78" spans="1:10" ht="12.75">
      <c r="A78" s="2" t="s">
        <v>110</v>
      </c>
      <c r="B78" t="s">
        <v>112</v>
      </c>
      <c r="I78" t="s">
        <v>111</v>
      </c>
      <c r="J78" t="s">
        <v>118</v>
      </c>
    </row>
    <row r="79" spans="1:10" ht="12.75">
      <c r="A79" s="2" t="s">
        <v>126</v>
      </c>
      <c r="I79" t="s">
        <v>127</v>
      </c>
      <c r="J79" t="s">
        <v>128</v>
      </c>
    </row>
    <row r="80" spans="1:9" ht="12.75">
      <c r="A80" s="2" t="s">
        <v>130</v>
      </c>
      <c r="B80" t="s">
        <v>131</v>
      </c>
      <c r="I80" t="s">
        <v>132</v>
      </c>
    </row>
    <row r="81" spans="1:9" ht="12.75">
      <c r="A81" s="2" t="s">
        <v>135</v>
      </c>
      <c r="B81" t="s">
        <v>131</v>
      </c>
      <c r="I81" t="s">
        <v>136</v>
      </c>
    </row>
    <row r="84" spans="1:9" ht="12.75">
      <c r="A84" s="2" t="s">
        <v>142</v>
      </c>
      <c r="B84" t="s">
        <v>49</v>
      </c>
      <c r="I84" t="s">
        <v>143</v>
      </c>
    </row>
    <row r="85" ht="12.75">
      <c r="A85" s="2" t="s">
        <v>148</v>
      </c>
    </row>
    <row r="86" spans="1:9" ht="12.75">
      <c r="A86" s="2" t="s">
        <v>156</v>
      </c>
      <c r="B86" t="s">
        <v>94</v>
      </c>
      <c r="I86" t="s">
        <v>161</v>
      </c>
    </row>
    <row r="89" spans="1:9" ht="12.75">
      <c r="A89" s="2" t="s">
        <v>147</v>
      </c>
      <c r="B89" t="s">
        <v>45</v>
      </c>
      <c r="I89" t="s">
        <v>169</v>
      </c>
    </row>
    <row r="90" spans="1:10" ht="12.75">
      <c r="A90" s="2" t="s">
        <v>171</v>
      </c>
      <c r="B90" t="s">
        <v>162</v>
      </c>
      <c r="I90" t="s">
        <v>198</v>
      </c>
      <c r="J90" t="s">
        <v>119</v>
      </c>
    </row>
    <row r="91" spans="1:9" ht="12.75">
      <c r="A91" s="2" t="s">
        <v>172</v>
      </c>
      <c r="I91" t="s">
        <v>173</v>
      </c>
    </row>
    <row r="92" spans="1:9" ht="12.75">
      <c r="A92" s="2" t="s">
        <v>276</v>
      </c>
      <c r="I92" t="s">
        <v>127</v>
      </c>
    </row>
    <row r="95" spans="1:9" ht="12.75">
      <c r="A95" s="2" t="s">
        <v>306</v>
      </c>
      <c r="F95" t="s">
        <v>327</v>
      </c>
      <c r="I95" t="s">
        <v>327</v>
      </c>
    </row>
    <row r="96" ht="12.75">
      <c r="A96" s="2" t="s">
        <v>307</v>
      </c>
    </row>
    <row r="97" ht="12.75">
      <c r="A97" s="2" t="s">
        <v>308</v>
      </c>
    </row>
    <row r="98" ht="12.75">
      <c r="A98" s="2" t="s">
        <v>309</v>
      </c>
    </row>
    <row r="99" spans="1:9" ht="12.75">
      <c r="A99" s="2" t="s">
        <v>361</v>
      </c>
      <c r="B99" t="s">
        <v>362</v>
      </c>
      <c r="I99" t="s">
        <v>363</v>
      </c>
    </row>
    <row r="100" spans="1:9" ht="12.75">
      <c r="A100" s="2" t="s">
        <v>379</v>
      </c>
      <c r="D100" t="s">
        <v>382</v>
      </c>
      <c r="E100">
        <v>1997</v>
      </c>
      <c r="I100" t="s">
        <v>407</v>
      </c>
    </row>
    <row r="101" spans="1:4" ht="12.75">
      <c r="A101" s="2" t="s">
        <v>233</v>
      </c>
      <c r="B101" t="s">
        <v>112</v>
      </c>
      <c r="D101" t="s">
        <v>382</v>
      </c>
    </row>
    <row r="102" spans="1:9" ht="12.75">
      <c r="A102" s="2" t="s">
        <v>113</v>
      </c>
      <c r="B102" t="s">
        <v>464</v>
      </c>
      <c r="D102" t="s">
        <v>383</v>
      </c>
      <c r="I102" t="s">
        <v>546</v>
      </c>
    </row>
    <row r="103" spans="1:4" ht="12.75">
      <c r="A103" s="2" t="s">
        <v>384</v>
      </c>
      <c r="D103" t="s">
        <v>383</v>
      </c>
    </row>
    <row r="104" spans="1:4" ht="12.75">
      <c r="A104" s="2" t="s">
        <v>385</v>
      </c>
      <c r="D104" t="s">
        <v>386</v>
      </c>
    </row>
    <row r="105" spans="1:4" ht="12.75">
      <c r="A105" s="2" t="s">
        <v>387</v>
      </c>
      <c r="D105" t="s">
        <v>386</v>
      </c>
    </row>
    <row r="106" spans="1:4" ht="12.75">
      <c r="A106" s="2" t="s">
        <v>388</v>
      </c>
      <c r="D106" t="s">
        <v>404</v>
      </c>
    </row>
    <row r="107" spans="1:4" ht="12.75">
      <c r="A107" s="2" t="s">
        <v>389</v>
      </c>
      <c r="D107" t="s">
        <v>404</v>
      </c>
    </row>
    <row r="108" spans="1:4" ht="12.75">
      <c r="A108" s="2" t="s">
        <v>390</v>
      </c>
      <c r="D108" t="s">
        <v>404</v>
      </c>
    </row>
    <row r="109" spans="1:4" ht="12.75">
      <c r="A109" s="2" t="s">
        <v>391</v>
      </c>
      <c r="D109" t="s">
        <v>404</v>
      </c>
    </row>
    <row r="110" spans="1:4" ht="12.75">
      <c r="A110" s="2" t="s">
        <v>392</v>
      </c>
      <c r="D110" t="s">
        <v>404</v>
      </c>
    </row>
    <row r="111" spans="1:4" ht="12.75">
      <c r="A111" s="2" t="s">
        <v>393</v>
      </c>
      <c r="D111" t="s">
        <v>404</v>
      </c>
    </row>
    <row r="112" spans="1:4" ht="12.75">
      <c r="A112" s="2" t="s">
        <v>394</v>
      </c>
      <c r="D112" t="s">
        <v>404</v>
      </c>
    </row>
    <row r="113" spans="1:4" ht="12.75">
      <c r="A113" s="2" t="s">
        <v>395</v>
      </c>
      <c r="D113" t="s">
        <v>404</v>
      </c>
    </row>
    <row r="114" spans="1:4" ht="12.75">
      <c r="A114" s="2" t="s">
        <v>396</v>
      </c>
      <c r="D114" t="s">
        <v>404</v>
      </c>
    </row>
    <row r="115" spans="1:9" ht="12.75">
      <c r="A115" s="2" t="s">
        <v>397</v>
      </c>
      <c r="B115" t="s">
        <v>47</v>
      </c>
      <c r="D115" t="s">
        <v>403</v>
      </c>
      <c r="I115" t="s">
        <v>549</v>
      </c>
    </row>
    <row r="116" spans="1:9" ht="12.75">
      <c r="A116" s="2" t="s">
        <v>398</v>
      </c>
      <c r="D116" t="s">
        <v>403</v>
      </c>
      <c r="I116" t="s">
        <v>419</v>
      </c>
    </row>
    <row r="117" spans="1:9" ht="12.75">
      <c r="A117" s="2" t="s">
        <v>399</v>
      </c>
      <c r="B117" t="s">
        <v>465</v>
      </c>
      <c r="D117" t="s">
        <v>403</v>
      </c>
      <c r="I117" t="s">
        <v>545</v>
      </c>
    </row>
    <row r="118" spans="1:4" ht="12.75">
      <c r="A118" s="2" t="s">
        <v>400</v>
      </c>
      <c r="D118" t="s">
        <v>403</v>
      </c>
    </row>
    <row r="119" spans="1:4" ht="12.75">
      <c r="A119" s="2" t="s">
        <v>401</v>
      </c>
      <c r="D119" t="s">
        <v>403</v>
      </c>
    </row>
    <row r="120" spans="1:4" ht="12.75">
      <c r="A120" s="2" t="s">
        <v>402</v>
      </c>
      <c r="D120" t="s">
        <v>403</v>
      </c>
    </row>
    <row r="122" spans="1:9" ht="12.75">
      <c r="A122" s="2" t="s">
        <v>436</v>
      </c>
      <c r="I122" t="s">
        <v>437</v>
      </c>
    </row>
    <row r="123" spans="1:9" ht="12.75">
      <c r="A123" s="2" t="s">
        <v>441</v>
      </c>
      <c r="E123" s="1" t="s">
        <v>444</v>
      </c>
      <c r="I123" t="s">
        <v>468</v>
      </c>
    </row>
    <row r="124" spans="1:9" ht="12.75">
      <c r="A124" s="2" t="s">
        <v>455</v>
      </c>
      <c r="B124" t="s">
        <v>457</v>
      </c>
      <c r="C124" t="s">
        <v>461</v>
      </c>
      <c r="D124" t="s">
        <v>459</v>
      </c>
      <c r="E124" s="1" t="s">
        <v>458</v>
      </c>
      <c r="F124">
        <v>49</v>
      </c>
      <c r="G124" s="32" t="s">
        <v>462</v>
      </c>
      <c r="H124" t="s">
        <v>178</v>
      </c>
      <c r="I124" t="s">
        <v>463</v>
      </c>
    </row>
    <row r="125" spans="1:7" ht="12.75">
      <c r="A125" s="2" t="s">
        <v>456</v>
      </c>
      <c r="D125" t="s">
        <v>460</v>
      </c>
      <c r="F125">
        <v>48</v>
      </c>
      <c r="G125" s="32" t="s">
        <v>462</v>
      </c>
    </row>
    <row r="126" spans="1:9" ht="12.75">
      <c r="A126" s="2" t="s">
        <v>540</v>
      </c>
      <c r="I126" t="s">
        <v>541</v>
      </c>
    </row>
    <row r="127" spans="1:9" ht="12.75">
      <c r="A127" s="2" t="s">
        <v>608</v>
      </c>
      <c r="I127" t="s">
        <v>609</v>
      </c>
    </row>
    <row r="128" spans="1:7" ht="12.75">
      <c r="A128" s="2" t="s">
        <v>655</v>
      </c>
      <c r="B128" t="s">
        <v>656</v>
      </c>
      <c r="C128" t="s">
        <v>657</v>
      </c>
      <c r="D128" t="s">
        <v>658</v>
      </c>
      <c r="E128" t="s">
        <v>659</v>
      </c>
      <c r="G128">
        <v>1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02"/>
  <sheetViews>
    <sheetView workbookViewId="0" topLeftCell="A1">
      <pane ySplit="1020" topLeftCell="BM1" activePane="bottomLeft" state="split"/>
      <selection pane="topLeft" activeCell="B1" sqref="B1:K16384"/>
      <selection pane="bottomLeft" activeCell="T29" sqref="T29"/>
    </sheetView>
  </sheetViews>
  <sheetFormatPr defaultColWidth="9.140625" defaultRowHeight="12.75"/>
  <cols>
    <col min="1" max="1" width="21.7109375" style="17" customWidth="1"/>
    <col min="2" max="2" width="11.7109375" style="27" bestFit="1" customWidth="1"/>
    <col min="3" max="4" width="7.140625" style="17" bestFit="1" customWidth="1"/>
    <col min="5" max="5" width="8.57421875" style="17" customWidth="1"/>
    <col min="6" max="6" width="9.28125" style="17" customWidth="1"/>
    <col min="7" max="7" width="9.28125" style="99" customWidth="1"/>
    <col min="8" max="8" width="11.28125" style="57" bestFit="1" customWidth="1"/>
    <col min="9" max="9" width="9.28125" style="17" customWidth="1"/>
    <col min="10" max="10" width="12.140625" style="17" bestFit="1" customWidth="1"/>
    <col min="11" max="11" width="11.140625" style="5" bestFit="1" customWidth="1"/>
    <col min="12" max="12" width="8.28125" style="5" bestFit="1" customWidth="1"/>
    <col min="13" max="13" width="10.57421875" style="5" bestFit="1" customWidth="1"/>
    <col min="14" max="14" width="9.8515625" style="17" bestFit="1" customWidth="1"/>
    <col min="15" max="15" width="11.00390625" style="5" bestFit="1" customWidth="1"/>
    <col min="16" max="16" width="10.57421875" style="5" bestFit="1" customWidth="1"/>
    <col min="17" max="17" width="10.140625" style="21" bestFit="1" customWidth="1"/>
    <col min="18" max="18" width="3.57421875" style="17" customWidth="1"/>
    <col min="19" max="19" width="12.140625" style="17" customWidth="1"/>
    <col min="20" max="21" width="14.421875" style="17" customWidth="1"/>
    <col min="22" max="22" width="14.00390625" style="17" customWidth="1"/>
    <col min="23" max="23" width="9.28125" style="17" customWidth="1"/>
    <col min="24" max="25" width="9.140625" style="17" customWidth="1"/>
    <col min="26" max="34" width="12.00390625" style="17" customWidth="1"/>
    <col min="35" max="36" width="12.00390625" style="33" customWidth="1"/>
    <col min="37" max="38" width="12.00390625" style="17" customWidth="1"/>
    <col min="39" max="40" width="6.7109375" style="17" customWidth="1"/>
    <col min="41" max="41" width="9.140625" style="17" customWidth="1"/>
    <col min="42" max="44" width="6.7109375" style="17" customWidth="1"/>
    <col min="46" max="46" width="9.28125" style="21" customWidth="1"/>
    <col min="47" max="47" width="9.28125" style="20" customWidth="1"/>
    <col min="48" max="48" width="9.28125" style="21" customWidth="1"/>
    <col min="49" max="49" width="9.57421875" style="17" bestFit="1" customWidth="1"/>
    <col min="50" max="50" width="9.57421875" style="17" customWidth="1"/>
    <col min="51" max="51" width="10.57421875" style="17" bestFit="1" customWidth="1"/>
    <col min="52" max="53" width="10.57421875" style="17" customWidth="1"/>
    <col min="54" max="54" width="11.28125" style="17" bestFit="1" customWidth="1"/>
    <col min="55" max="55" width="5.7109375" style="30" bestFit="1" customWidth="1"/>
    <col min="56" max="57" width="17.57421875" style="30" bestFit="1" customWidth="1"/>
    <col min="58" max="58" width="9.7109375" style="17" bestFit="1" customWidth="1"/>
    <col min="59" max="59" width="7.28125" style="17" bestFit="1" customWidth="1"/>
    <col min="60" max="60" width="9.421875" style="20" bestFit="1" customWidth="1"/>
    <col min="61" max="61" width="9.421875" style="17" bestFit="1" customWidth="1"/>
    <col min="62" max="62" width="9.421875" style="17" customWidth="1"/>
    <col min="63" max="16384" width="9.140625" style="17" customWidth="1"/>
  </cols>
  <sheetData>
    <row r="1" spans="2:69" ht="12.75">
      <c r="B1" s="27" t="s">
        <v>129</v>
      </c>
      <c r="C1" s="5" t="s">
        <v>12</v>
      </c>
      <c r="D1" s="5" t="s">
        <v>15</v>
      </c>
      <c r="E1" s="5" t="s">
        <v>17</v>
      </c>
      <c r="F1" s="5" t="s">
        <v>19</v>
      </c>
      <c r="G1" s="96"/>
      <c r="H1" s="84"/>
      <c r="I1" s="5" t="s">
        <v>175</v>
      </c>
      <c r="J1" s="5"/>
      <c r="L1" s="5" t="s">
        <v>20</v>
      </c>
      <c r="M1" s="5" t="s">
        <v>312</v>
      </c>
      <c r="N1" s="5" t="s">
        <v>282</v>
      </c>
      <c r="O1" s="5" t="s">
        <v>54</v>
      </c>
      <c r="P1" s="5" t="s">
        <v>312</v>
      </c>
      <c r="R1" s="5"/>
      <c r="S1" s="5" t="s">
        <v>627</v>
      </c>
      <c r="T1" s="5"/>
      <c r="U1" s="5"/>
      <c r="V1" s="61">
        <v>0.95</v>
      </c>
      <c r="W1" s="5" t="s">
        <v>277</v>
      </c>
      <c r="X1" s="5"/>
      <c r="Y1" s="5"/>
      <c r="Z1" s="43" t="s">
        <v>278</v>
      </c>
      <c r="AA1" s="43" t="s">
        <v>446</v>
      </c>
      <c r="AB1" s="5" t="s">
        <v>364</v>
      </c>
      <c r="AC1" s="5" t="s">
        <v>482</v>
      </c>
      <c r="AD1" s="5" t="s">
        <v>364</v>
      </c>
      <c r="AE1" s="5" t="s">
        <v>714</v>
      </c>
      <c r="AF1" s="5" t="s">
        <v>488</v>
      </c>
      <c r="AG1" s="5" t="s">
        <v>490</v>
      </c>
      <c r="AH1" s="5" t="s">
        <v>491</v>
      </c>
      <c r="AI1" s="24" t="s">
        <v>554</v>
      </c>
      <c r="AJ1" s="24" t="s">
        <v>613</v>
      </c>
      <c r="AK1" s="5" t="s">
        <v>428</v>
      </c>
      <c r="AL1" s="5" t="s">
        <v>410</v>
      </c>
      <c r="AM1" s="5" t="s">
        <v>315</v>
      </c>
      <c r="AN1" s="5" t="s">
        <v>574</v>
      </c>
      <c r="AO1" s="5" t="s">
        <v>479</v>
      </c>
      <c r="AP1" s="5"/>
      <c r="AQ1" s="5" t="s">
        <v>414</v>
      </c>
      <c r="AR1" s="5" t="s">
        <v>438</v>
      </c>
      <c r="AT1" s="27" t="s">
        <v>278</v>
      </c>
      <c r="AU1" s="19" t="s">
        <v>614</v>
      </c>
      <c r="AV1" s="27" t="s">
        <v>14</v>
      </c>
      <c r="AW1" s="5"/>
      <c r="AX1" s="5" t="s">
        <v>14</v>
      </c>
      <c r="AY1" s="5"/>
      <c r="AZ1" s="5" t="s">
        <v>638</v>
      </c>
      <c r="BA1" s="5" t="s">
        <v>638</v>
      </c>
      <c r="BB1" s="5"/>
      <c r="BC1" s="34" t="s">
        <v>286</v>
      </c>
      <c r="BD1" s="34"/>
      <c r="BE1" s="34" t="s">
        <v>594</v>
      </c>
      <c r="BF1" s="5" t="s">
        <v>467</v>
      </c>
      <c r="BG1" s="5" t="s">
        <v>228</v>
      </c>
      <c r="BH1" s="81" t="s">
        <v>230</v>
      </c>
      <c r="BI1" s="5" t="s">
        <v>163</v>
      </c>
      <c r="BJ1" s="5" t="s">
        <v>687</v>
      </c>
      <c r="BK1" s="5" t="s">
        <v>166</v>
      </c>
      <c r="BL1" s="5" t="s">
        <v>216</v>
      </c>
      <c r="BM1" s="5" t="s">
        <v>268</v>
      </c>
      <c r="BN1" s="5" t="s">
        <v>353</v>
      </c>
      <c r="BO1" s="5" t="s">
        <v>354</v>
      </c>
      <c r="BP1" s="5" t="s">
        <v>358</v>
      </c>
      <c r="BQ1" s="5" t="s">
        <v>357</v>
      </c>
    </row>
    <row r="2" spans="1:68" ht="12.75">
      <c r="A2" s="39" t="s">
        <v>431</v>
      </c>
      <c r="B2" s="27" t="s">
        <v>55</v>
      </c>
      <c r="C2" s="5" t="s">
        <v>13</v>
      </c>
      <c r="D2" s="5" t="s">
        <v>16</v>
      </c>
      <c r="E2" s="5" t="s">
        <v>18</v>
      </c>
      <c r="F2" s="5" t="s">
        <v>202</v>
      </c>
      <c r="G2" s="96"/>
      <c r="H2" s="84"/>
      <c r="I2" s="5" t="s">
        <v>125</v>
      </c>
      <c r="J2" s="5" t="s">
        <v>12</v>
      </c>
      <c r="K2" s="5" t="s">
        <v>352</v>
      </c>
      <c r="L2" s="5" t="s">
        <v>21</v>
      </c>
      <c r="M2" s="5" t="s">
        <v>313</v>
      </c>
      <c r="N2" s="5" t="s">
        <v>96</v>
      </c>
      <c r="O2" s="5" t="s">
        <v>184</v>
      </c>
      <c r="P2" s="5" t="s">
        <v>313</v>
      </c>
      <c r="Q2" s="27" t="s">
        <v>183</v>
      </c>
      <c r="R2" s="5"/>
      <c r="S2" s="5" t="s">
        <v>625</v>
      </c>
      <c r="T2" s="5" t="s">
        <v>610</v>
      </c>
      <c r="U2" s="5" t="s">
        <v>611</v>
      </c>
      <c r="V2" s="5" t="s">
        <v>202</v>
      </c>
      <c r="W2" s="5" t="s">
        <v>202</v>
      </c>
      <c r="X2" s="13" t="s">
        <v>590</v>
      </c>
      <c r="Y2" s="13" t="s">
        <v>592</v>
      </c>
      <c r="Z2" s="43" t="s">
        <v>445</v>
      </c>
      <c r="AA2" s="43" t="s">
        <v>95</v>
      </c>
      <c r="AB2" s="5" t="s">
        <v>713</v>
      </c>
      <c r="AC2" s="5"/>
      <c r="AD2" s="5" t="s">
        <v>712</v>
      </c>
      <c r="AE2" s="5"/>
      <c r="AF2" s="5" t="s">
        <v>489</v>
      </c>
      <c r="AG2" s="5" t="s">
        <v>543</v>
      </c>
      <c r="AH2" s="5" t="s">
        <v>544</v>
      </c>
      <c r="AI2" s="24" t="s">
        <v>555</v>
      </c>
      <c r="AJ2" s="24"/>
      <c r="AK2" s="5" t="s">
        <v>429</v>
      </c>
      <c r="AL2" s="5" t="s">
        <v>411</v>
      </c>
      <c r="AM2" s="5"/>
      <c r="AN2" s="5"/>
      <c r="AP2" s="5" t="s">
        <v>347</v>
      </c>
      <c r="AQ2" s="5" t="s">
        <v>415</v>
      </c>
      <c r="AR2" s="5" t="s">
        <v>178</v>
      </c>
      <c r="AT2" s="27" t="s">
        <v>416</v>
      </c>
      <c r="AU2" s="19"/>
      <c r="AV2" s="27" t="s">
        <v>439</v>
      </c>
      <c r="AW2" s="5" t="s">
        <v>241</v>
      </c>
      <c r="AX2" s="5" t="s">
        <v>440</v>
      </c>
      <c r="AY2" s="5" t="s">
        <v>242</v>
      </c>
      <c r="AZ2" s="5" t="s">
        <v>246</v>
      </c>
      <c r="BA2" s="5" t="s">
        <v>246</v>
      </c>
      <c r="BB2" s="5" t="s">
        <v>243</v>
      </c>
      <c r="BC2" s="34" t="s">
        <v>287</v>
      </c>
      <c r="BD2" s="34" t="s">
        <v>593</v>
      </c>
      <c r="BE2" s="34"/>
      <c r="BF2" s="5" t="s">
        <v>217</v>
      </c>
      <c r="BG2" s="5" t="s">
        <v>229</v>
      </c>
      <c r="BH2" s="81" t="s">
        <v>231</v>
      </c>
      <c r="BI2" s="5" t="s">
        <v>164</v>
      </c>
      <c r="BJ2" s="13" t="s">
        <v>688</v>
      </c>
      <c r="BK2" s="5" t="s">
        <v>167</v>
      </c>
      <c r="BP2" s="17" t="s">
        <v>359</v>
      </c>
    </row>
    <row r="3" spans="2:68" ht="12.75">
      <c r="B3" s="40" t="s">
        <v>34</v>
      </c>
      <c r="C3" s="35" t="s">
        <v>14</v>
      </c>
      <c r="D3" s="35" t="s">
        <v>14</v>
      </c>
      <c r="E3" s="35" t="s">
        <v>14</v>
      </c>
      <c r="F3" s="35" t="s">
        <v>41</v>
      </c>
      <c r="G3" s="97" t="s">
        <v>719</v>
      </c>
      <c r="H3" s="85" t="s">
        <v>720</v>
      </c>
      <c r="I3" s="22" t="s">
        <v>186</v>
      </c>
      <c r="J3" s="35" t="s">
        <v>95</v>
      </c>
      <c r="K3" s="35" t="s">
        <v>182</v>
      </c>
      <c r="L3" s="35" t="s">
        <v>35</v>
      </c>
      <c r="M3" s="35" t="s">
        <v>314</v>
      </c>
      <c r="N3" s="22" t="s">
        <v>284</v>
      </c>
      <c r="O3" s="35" t="s">
        <v>185</v>
      </c>
      <c r="P3" s="40" t="s">
        <v>466</v>
      </c>
      <c r="Q3" s="40" t="s">
        <v>285</v>
      </c>
      <c r="U3" s="5" t="s">
        <v>612</v>
      </c>
      <c r="V3" s="5" t="s">
        <v>601</v>
      </c>
      <c r="W3" s="15" t="s">
        <v>278</v>
      </c>
      <c r="Y3" s="17" t="s">
        <v>591</v>
      </c>
      <c r="Z3" s="83" t="s">
        <v>95</v>
      </c>
      <c r="AA3" s="83" t="s">
        <v>447</v>
      </c>
      <c r="AI3" s="33" t="s">
        <v>556</v>
      </c>
      <c r="AK3" s="17" t="s">
        <v>430</v>
      </c>
      <c r="AL3" s="17" t="s">
        <v>412</v>
      </c>
      <c r="AP3" s="17" t="s">
        <v>348</v>
      </c>
      <c r="AQ3" s="17" t="s">
        <v>200</v>
      </c>
      <c r="AR3" s="17" t="s">
        <v>412</v>
      </c>
      <c r="AT3" s="41"/>
      <c r="AU3" s="37"/>
      <c r="AV3" s="41"/>
      <c r="AZ3" s="17" t="s">
        <v>639</v>
      </c>
      <c r="BA3" s="17" t="s">
        <v>640</v>
      </c>
      <c r="BH3" s="82" t="s">
        <v>232</v>
      </c>
      <c r="BI3" s="15" t="s">
        <v>165</v>
      </c>
      <c r="BJ3" s="15"/>
      <c r="BP3" s="17" t="s">
        <v>360</v>
      </c>
    </row>
    <row r="4" spans="1:69" ht="12.75">
      <c r="A4" s="13" t="s">
        <v>288</v>
      </c>
      <c r="B4" s="23">
        <f>(AY4-AT4)/7</f>
        <v>2.128571428571429</v>
      </c>
      <c r="C4" s="36">
        <v>10</v>
      </c>
      <c r="D4" s="14">
        <v>12.5</v>
      </c>
      <c r="E4" s="14" t="s">
        <v>76</v>
      </c>
      <c r="F4" s="27">
        <v>53.7</v>
      </c>
      <c r="G4" s="96">
        <f>6.91/F4</f>
        <v>0.1286778398510242</v>
      </c>
      <c r="H4" s="84">
        <v>467</v>
      </c>
      <c r="I4" s="19">
        <f>F5/F4</f>
        <v>1.1135940409683425</v>
      </c>
      <c r="J4" s="27">
        <v>14</v>
      </c>
      <c r="K4" s="27">
        <v>17.7</v>
      </c>
      <c r="L4" s="5">
        <v>31.5</v>
      </c>
      <c r="M4" s="5">
        <v>45.6</v>
      </c>
      <c r="N4" s="23">
        <v>8.5</v>
      </c>
      <c r="O4" s="19">
        <v>0.68</v>
      </c>
      <c r="P4" s="5">
        <v>50.4</v>
      </c>
      <c r="Q4" s="27">
        <f>N4*(O4+O5)/2</f>
        <v>6.2475000000000005</v>
      </c>
      <c r="S4" s="17">
        <v>0.15</v>
      </c>
      <c r="T4" s="17">
        <f>(1959+1963+1971+1979)/4</f>
        <v>1968</v>
      </c>
      <c r="V4" s="17">
        <v>18.4</v>
      </c>
      <c r="W4" s="17">
        <v>57</v>
      </c>
      <c r="Z4" s="17">
        <v>46</v>
      </c>
      <c r="AA4" s="17">
        <f>Z4/F4</f>
        <v>0.8566108007448789</v>
      </c>
      <c r="AB4" s="17">
        <f>LN(Q4/2)/((K4+BG4/2))</f>
        <v>0.04053502502373754</v>
      </c>
      <c r="AC4" s="17">
        <f>(LN(Q4/2))/AB4</f>
        <v>28.100000000000005</v>
      </c>
      <c r="AD4" s="17">
        <f>LN((BG4/L4*12+1)/2*(O4+O5)/2)/AC4</f>
        <v>0.04226658262461399</v>
      </c>
      <c r="AF4" s="17">
        <v>550</v>
      </c>
      <c r="AG4" s="17">
        <v>22000</v>
      </c>
      <c r="AH4" s="17">
        <f>AF4/AG4</f>
        <v>0.025</v>
      </c>
      <c r="AI4" s="33">
        <f>L4-9</f>
        <v>22.5</v>
      </c>
      <c r="AJ4" s="33">
        <f>(K4-AI4/12)/P4</f>
        <v>0.31398809523809523</v>
      </c>
      <c r="AL4" s="17">
        <v>21</v>
      </c>
      <c r="AM4" s="17">
        <v>0.75</v>
      </c>
      <c r="AN4" s="17">
        <f>O4/AM4</f>
        <v>0.9066666666666667</v>
      </c>
      <c r="AO4" s="17">
        <f>O4/(1-AL4/100)</f>
        <v>0.8607594936708861</v>
      </c>
      <c r="AP4" s="17">
        <v>3.1</v>
      </c>
      <c r="AQ4" s="17">
        <v>7.7</v>
      </c>
      <c r="AR4" s="17">
        <f>AQ4/1.75</f>
        <v>4.4</v>
      </c>
      <c r="AT4" s="21">
        <v>11.7</v>
      </c>
      <c r="AU4" s="20">
        <f>AT4/F4</f>
        <v>0.217877094972067</v>
      </c>
      <c r="AV4" s="21">
        <f>(AT4-AQ4)/3</f>
        <v>1.333333333333333</v>
      </c>
      <c r="AW4" s="17">
        <v>15.6</v>
      </c>
      <c r="AX4" s="17">
        <f>(AW4-AT4)/2</f>
        <v>1.9500000000000002</v>
      </c>
      <c r="AY4" s="17">
        <v>26.6</v>
      </c>
      <c r="AZ4" s="17">
        <f>AY4/F4</f>
        <v>0.49534450651769085</v>
      </c>
      <c r="BB4" s="17">
        <f aca="true" t="shared" si="0" ref="BB4:BB11">(AY4-AW4)/5</f>
        <v>2.2</v>
      </c>
      <c r="BC4" s="30">
        <f aca="true" t="shared" si="1" ref="BC4:BC11">B4/((AW4+AY4)/2)^0.75</f>
        <v>0.21621030375629363</v>
      </c>
      <c r="BD4" s="30">
        <f>LN(AY4/AT4)/7</f>
        <v>0.11733176771199187</v>
      </c>
      <c r="BE4" s="30">
        <f>LN(AY4/AW4)/5</f>
        <v>0.10672806030643242</v>
      </c>
      <c r="BF4" s="17">
        <v>38.5</v>
      </c>
      <c r="BG4" s="27">
        <f>BF4-K4</f>
        <v>20.8</v>
      </c>
      <c r="BH4" s="20">
        <f>(N4-1)*(L4/12)</f>
        <v>19.6875</v>
      </c>
      <c r="BK4" s="17">
        <v>1.22</v>
      </c>
      <c r="BL4" s="21">
        <f>K4-J4</f>
        <v>3.6999999999999993</v>
      </c>
      <c r="BP4" s="17">
        <v>1.78</v>
      </c>
      <c r="BQ4" s="17">
        <v>3827</v>
      </c>
    </row>
    <row r="5" spans="1:57" ht="12.75">
      <c r="A5" s="13" t="s">
        <v>289</v>
      </c>
      <c r="B5" s="23">
        <f>(AY5-AT5)/7</f>
        <v>2.0285714285714285</v>
      </c>
      <c r="C5" s="31">
        <v>11.5</v>
      </c>
      <c r="D5" s="14" t="s">
        <v>26</v>
      </c>
      <c r="E5" s="14">
        <v>18.5</v>
      </c>
      <c r="F5" s="27">
        <v>59.8</v>
      </c>
      <c r="G5" s="96">
        <f>5.57/F5</f>
        <v>0.0931438127090301</v>
      </c>
      <c r="H5" s="84">
        <v>586</v>
      </c>
      <c r="I5" s="19"/>
      <c r="J5" s="27"/>
      <c r="K5" s="16">
        <v>23</v>
      </c>
      <c r="M5" s="5">
        <v>50.4</v>
      </c>
      <c r="O5" s="19">
        <v>0.79</v>
      </c>
      <c r="P5" s="5">
        <v>48.7</v>
      </c>
      <c r="Q5" s="27"/>
      <c r="S5" s="17">
        <f>1.97-1.858</f>
        <v>0.11199999999999988</v>
      </c>
      <c r="V5" s="17">
        <v>19.1</v>
      </c>
      <c r="W5" s="16">
        <v>60.1</v>
      </c>
      <c r="AM5" s="17">
        <v>0.79</v>
      </c>
      <c r="AN5" s="17">
        <f>O5/AM5</f>
        <v>1</v>
      </c>
      <c r="AO5" s="17">
        <f>O5/(1-AL4/100)</f>
        <v>1</v>
      </c>
      <c r="AP5" s="17">
        <v>3.1</v>
      </c>
      <c r="AQ5" s="17">
        <v>8.3</v>
      </c>
      <c r="AR5" s="17">
        <f>AQ5/1.75</f>
        <v>4.742857142857143</v>
      </c>
      <c r="AT5" s="27">
        <v>12.2</v>
      </c>
      <c r="AU5" s="20">
        <f>AT5/F5</f>
        <v>0.2040133779264214</v>
      </c>
      <c r="AV5" s="21">
        <f>(AT5-AQ5)/3</f>
        <v>1.2999999999999996</v>
      </c>
      <c r="AW5" s="17">
        <v>15.2</v>
      </c>
      <c r="AX5" s="17">
        <f aca="true" t="shared" si="2" ref="AX5:AX11">(AW5-AT5)/2</f>
        <v>1.5</v>
      </c>
      <c r="AY5" s="17">
        <v>26.4</v>
      </c>
      <c r="BA5" s="17">
        <v>0.4414715719063545</v>
      </c>
      <c r="BB5" s="17">
        <f t="shared" si="0"/>
        <v>2.2399999999999998</v>
      </c>
      <c r="BC5" s="30">
        <f t="shared" si="1"/>
        <v>0.20827771439132772</v>
      </c>
      <c r="BD5" s="30">
        <f>LN(AY5/AT5)/7</f>
        <v>0.11027543691615138</v>
      </c>
      <c r="BE5" s="30">
        <f aca="true" t="shared" si="3" ref="BE5:BE68">LN(AY5/AW5)/5</f>
        <v>0.11041371646000797</v>
      </c>
    </row>
    <row r="6" spans="1:64" ht="12.75">
      <c r="A6" s="13" t="s">
        <v>292</v>
      </c>
      <c r="B6" s="42">
        <v>1.6</v>
      </c>
      <c r="C6" s="58"/>
      <c r="D6" s="59"/>
      <c r="E6" s="14"/>
      <c r="F6" s="42">
        <v>38</v>
      </c>
      <c r="G6" s="96"/>
      <c r="H6" s="84"/>
      <c r="I6" s="19">
        <f>F7/F6</f>
        <v>1.0526315789473684</v>
      </c>
      <c r="J6" s="27">
        <v>13.8</v>
      </c>
      <c r="K6" s="27">
        <v>18.7</v>
      </c>
      <c r="L6" s="5">
        <v>34.5</v>
      </c>
      <c r="M6" s="5">
        <v>16.6</v>
      </c>
      <c r="N6" s="27">
        <v>6.5</v>
      </c>
      <c r="O6" s="19">
        <v>0.33</v>
      </c>
      <c r="P6" s="5">
        <v>27.3</v>
      </c>
      <c r="Q6" s="27">
        <f>N6*O6</f>
        <v>2.145</v>
      </c>
      <c r="R6" s="17" t="s">
        <v>578</v>
      </c>
      <c r="W6" s="16"/>
      <c r="AB6" s="17">
        <f>LN(Q6/2)/((K6+BG6/2))</f>
        <v>0.0025779879123401473</v>
      </c>
      <c r="AC6" s="17">
        <f>(LN(Q6/2))/AB6</f>
        <v>27.15</v>
      </c>
      <c r="AD6" s="17">
        <f>LN((BG6/L6*12+1)/2*(O6+O7)/2)/AC6</f>
        <v>0.004661364063456624</v>
      </c>
      <c r="AF6" s="47">
        <v>1645</v>
      </c>
      <c r="AG6" s="48">
        <v>1790</v>
      </c>
      <c r="AH6" s="49">
        <v>0.9189944134078212</v>
      </c>
      <c r="AI6" s="33">
        <f>L6-9</f>
        <v>25.5</v>
      </c>
      <c r="AJ6" s="33">
        <f>(K6-AI6/12)/P6</f>
        <v>0.6071428571428571</v>
      </c>
      <c r="AM6" s="17">
        <v>0.45</v>
      </c>
      <c r="AN6" s="17">
        <f>O6/AM6</f>
        <v>0.7333333333333334</v>
      </c>
      <c r="AT6" s="27"/>
      <c r="AU6" s="19"/>
      <c r="AV6" s="27"/>
      <c r="AW6" s="39">
        <v>13</v>
      </c>
      <c r="AY6" s="39">
        <v>22</v>
      </c>
      <c r="AZ6" s="17">
        <f>AY6/F6</f>
        <v>0.5789473684210527</v>
      </c>
      <c r="BB6" s="17">
        <f t="shared" si="0"/>
        <v>1.8</v>
      </c>
      <c r="BC6" s="30">
        <f t="shared" si="1"/>
        <v>0.18699993093645925</v>
      </c>
      <c r="BE6" s="30">
        <f t="shared" si="3"/>
        <v>0.10521861917935582</v>
      </c>
      <c r="BF6" s="17">
        <v>37.4</v>
      </c>
      <c r="BG6" s="17">
        <f>BF6-20.5</f>
        <v>16.9</v>
      </c>
      <c r="BH6" s="20">
        <f>(N6-1)*(L6/12)</f>
        <v>15.8125</v>
      </c>
      <c r="BJ6" s="17">
        <v>12</v>
      </c>
      <c r="BL6" s="21">
        <f>K6-J6</f>
        <v>4.899999999999999</v>
      </c>
    </row>
    <row r="7" spans="1:62" ht="12.75">
      <c r="A7" s="13" t="s">
        <v>293</v>
      </c>
      <c r="B7" s="42">
        <v>1.5</v>
      </c>
      <c r="C7" s="58"/>
      <c r="D7" s="59"/>
      <c r="E7" s="14"/>
      <c r="F7" s="42">
        <v>40</v>
      </c>
      <c r="G7" s="96"/>
      <c r="H7" s="84"/>
      <c r="I7" s="19"/>
      <c r="J7" s="27"/>
      <c r="K7" s="27">
        <v>20.9</v>
      </c>
      <c r="O7" s="19">
        <v>0.33</v>
      </c>
      <c r="Q7" s="27"/>
      <c r="R7" s="17" t="s">
        <v>579</v>
      </c>
      <c r="W7" s="16"/>
      <c r="AT7" s="27"/>
      <c r="AU7" s="19"/>
      <c r="AV7" s="27"/>
      <c r="AW7" s="39">
        <v>13</v>
      </c>
      <c r="AY7" s="39">
        <v>20</v>
      </c>
      <c r="BA7" s="17">
        <v>0.5</v>
      </c>
      <c r="BB7" s="17">
        <f t="shared" si="0"/>
        <v>1.4</v>
      </c>
      <c r="BC7" s="30">
        <f t="shared" si="1"/>
        <v>0.1832222874836113</v>
      </c>
      <c r="BE7" s="30">
        <f t="shared" si="3"/>
        <v>0.08615658321849087</v>
      </c>
      <c r="BI7" s="17">
        <v>8</v>
      </c>
      <c r="BJ7" s="17">
        <v>14</v>
      </c>
    </row>
    <row r="8" spans="1:64" ht="12.75">
      <c r="A8" s="13" t="s">
        <v>192</v>
      </c>
      <c r="B8" s="23">
        <f>(AY8-AT8)/7</f>
        <v>1.3571428571428574</v>
      </c>
      <c r="C8" s="31" t="s">
        <v>74</v>
      </c>
      <c r="D8" s="14" t="s">
        <v>31</v>
      </c>
      <c r="E8" s="14" t="s">
        <v>70</v>
      </c>
      <c r="F8" s="27">
        <v>40.3</v>
      </c>
      <c r="G8" s="96"/>
      <c r="H8" s="84"/>
      <c r="I8" s="19">
        <f>F9/F8</f>
        <v>1.15136476426799</v>
      </c>
      <c r="J8" s="42"/>
      <c r="K8" s="42">
        <v>19.5</v>
      </c>
      <c r="L8" s="5">
        <v>36</v>
      </c>
      <c r="M8" s="5">
        <v>24</v>
      </c>
      <c r="N8" s="5">
        <v>7.6</v>
      </c>
      <c r="O8" s="19">
        <v>0.42</v>
      </c>
      <c r="P8" s="5">
        <v>33.4</v>
      </c>
      <c r="Q8" s="27">
        <f>N8*(O8+O9)/2</f>
        <v>3.1919999999999997</v>
      </c>
      <c r="R8" s="17" t="s">
        <v>584</v>
      </c>
      <c r="S8" s="17">
        <f>1.368-1.031</f>
        <v>0.3370000000000002</v>
      </c>
      <c r="V8" s="17">
        <v>18</v>
      </c>
      <c r="W8" s="17">
        <v>38.6</v>
      </c>
      <c r="Z8" s="17">
        <v>35.8</v>
      </c>
      <c r="AA8" s="17">
        <f>Z8/F8</f>
        <v>0.8883374689826302</v>
      </c>
      <c r="AB8" s="17">
        <f>LN(Q8/2)/((K8+BH8/2))</f>
        <v>0.015901377517946156</v>
      </c>
      <c r="AC8" s="17">
        <f>(LN(Q8/2))/AB8</f>
        <v>29.399999999999995</v>
      </c>
      <c r="AD8" s="17">
        <f>LN((BH8/L8*12+1)/2*(O8+O9)/2)/AC8</f>
        <v>0.015901377517946156</v>
      </c>
      <c r="AF8" s="47">
        <v>609</v>
      </c>
      <c r="AG8" s="48">
        <v>700</v>
      </c>
      <c r="AH8" s="49">
        <v>0.87</v>
      </c>
      <c r="AI8" s="33">
        <f>L8-9</f>
        <v>27</v>
      </c>
      <c r="AJ8" s="33">
        <f>(K8-AI8/12)/P8</f>
        <v>0.5164670658682635</v>
      </c>
      <c r="AL8" s="17">
        <v>34.2</v>
      </c>
      <c r="AM8" s="39"/>
      <c r="AO8" s="17">
        <f>O8/(1-AL8/100)</f>
        <v>0.6382978723404256</v>
      </c>
      <c r="AQ8" s="17">
        <v>7.5</v>
      </c>
      <c r="AR8" s="17">
        <f>AQ8/1.75</f>
        <v>4.285714285714286</v>
      </c>
      <c r="AT8" s="21">
        <v>10.1</v>
      </c>
      <c r="AU8" s="20">
        <f>AT8/F8</f>
        <v>0.250620347394541</v>
      </c>
      <c r="AV8" s="21">
        <f>(AT8-AQ8)/3</f>
        <v>0.8666666666666666</v>
      </c>
      <c r="AW8" s="17">
        <v>13</v>
      </c>
      <c r="AX8" s="17">
        <f t="shared" si="2"/>
        <v>1.4500000000000002</v>
      </c>
      <c r="AY8" s="17">
        <v>19.6</v>
      </c>
      <c r="AZ8" s="17">
        <f>AY8/F8</f>
        <v>0.48635235732009935</v>
      </c>
      <c r="BB8" s="17">
        <f t="shared" si="0"/>
        <v>1.3200000000000003</v>
      </c>
      <c r="BC8" s="30">
        <f t="shared" si="1"/>
        <v>0.16729573217806878</v>
      </c>
      <c r="BD8" s="30">
        <f>LN(AY8/AT8)/7</f>
        <v>0.09471344891275113</v>
      </c>
      <c r="BE8" s="30">
        <f t="shared" si="3"/>
        <v>0.08211604175498699</v>
      </c>
      <c r="BH8" s="20">
        <f>(N8-1)*(L8/12)</f>
        <v>19.799999999999997</v>
      </c>
      <c r="BL8" s="21"/>
    </row>
    <row r="9" spans="1:61" ht="12.75">
      <c r="A9" s="13" t="s">
        <v>193</v>
      </c>
      <c r="B9" s="23">
        <f>(AY9-AT9)/7</f>
        <v>1.4285714285714286</v>
      </c>
      <c r="C9" s="31" t="s">
        <v>50</v>
      </c>
      <c r="D9" s="14" t="s">
        <v>32</v>
      </c>
      <c r="E9" s="14" t="s">
        <v>29</v>
      </c>
      <c r="F9" s="27">
        <v>46.4</v>
      </c>
      <c r="G9" s="96"/>
      <c r="H9" s="84"/>
      <c r="J9" s="27"/>
      <c r="K9" s="27"/>
      <c r="N9" s="5"/>
      <c r="O9" s="19">
        <v>0.42</v>
      </c>
      <c r="S9" s="17">
        <f>1.493-1.186</f>
        <v>0.30700000000000016</v>
      </c>
      <c r="V9" s="17">
        <v>19.5</v>
      </c>
      <c r="W9" s="16">
        <v>49</v>
      </c>
      <c r="AQ9" s="17">
        <v>5.1</v>
      </c>
      <c r="AR9" s="17">
        <f>AQ9/1.75</f>
        <v>2.914285714285714</v>
      </c>
      <c r="AT9" s="21">
        <v>10.5</v>
      </c>
      <c r="AU9" s="20">
        <f>AT9/F9</f>
        <v>0.22629310344827586</v>
      </c>
      <c r="AV9" s="21">
        <f>(AT9-AQ9)/3</f>
        <v>1.8</v>
      </c>
      <c r="AW9" s="17">
        <v>14</v>
      </c>
      <c r="AX9" s="17">
        <f t="shared" si="2"/>
        <v>1.75</v>
      </c>
      <c r="AY9" s="17">
        <v>20.5</v>
      </c>
      <c r="BA9" s="17">
        <v>0.44181034482758624</v>
      </c>
      <c r="BB9" s="17">
        <f t="shared" si="0"/>
        <v>1.3</v>
      </c>
      <c r="BC9" s="30">
        <f t="shared" si="1"/>
        <v>0.1687757845329864</v>
      </c>
      <c r="BD9" s="30">
        <f>LN(AY9/AT9)/7</f>
        <v>0.09557851842584068</v>
      </c>
      <c r="BE9" s="30">
        <f t="shared" si="3"/>
        <v>0.07627351130582076</v>
      </c>
      <c r="BI9" s="17">
        <v>20</v>
      </c>
    </row>
    <row r="10" spans="1:64" ht="12.75">
      <c r="A10" s="13" t="s">
        <v>114</v>
      </c>
      <c r="B10" s="23">
        <f>(AY10-AT10)/7</f>
        <v>2.8628571428571425</v>
      </c>
      <c r="C10" s="31"/>
      <c r="D10" s="14"/>
      <c r="E10" s="14"/>
      <c r="F10" s="27">
        <v>44.4</v>
      </c>
      <c r="G10" s="96"/>
      <c r="H10" s="84"/>
      <c r="I10" s="19">
        <f>F11/F10</f>
        <v>1.1171171171171173</v>
      </c>
      <c r="J10" s="27" t="s">
        <v>448</v>
      </c>
      <c r="K10" s="16" t="s">
        <v>337</v>
      </c>
      <c r="L10" s="5">
        <v>36</v>
      </c>
      <c r="N10" s="14" t="s">
        <v>234</v>
      </c>
      <c r="O10" s="19"/>
      <c r="Q10" s="27"/>
      <c r="S10">
        <f>2.64-2.096</f>
        <v>0.544</v>
      </c>
      <c r="W10" s="16">
        <v>50</v>
      </c>
      <c r="Z10" s="17">
        <v>41.6</v>
      </c>
      <c r="AA10" s="17">
        <f>Z10/F10</f>
        <v>0.936936936936937</v>
      </c>
      <c r="AF10" s="47">
        <v>3000</v>
      </c>
      <c r="AG10" s="48">
        <v>22000</v>
      </c>
      <c r="AH10" s="49">
        <v>0.13636363636363635</v>
      </c>
      <c r="AI10" s="33">
        <f>L10-9</f>
        <v>27</v>
      </c>
      <c r="AQ10" s="17">
        <v>8.3</v>
      </c>
      <c r="AR10" s="17">
        <f>AQ10/1.75</f>
        <v>4.742857142857143</v>
      </c>
      <c r="AT10" s="27">
        <v>12.36</v>
      </c>
      <c r="AU10" s="20">
        <f>AT10/F10</f>
        <v>0.27837837837837837</v>
      </c>
      <c r="AV10" s="21">
        <f>(AT10-AQ10)/3</f>
        <v>1.3533333333333328</v>
      </c>
      <c r="AW10" s="17">
        <v>18.9</v>
      </c>
      <c r="AX10" s="17">
        <f t="shared" si="2"/>
        <v>3.2699999999999996</v>
      </c>
      <c r="AY10" s="17">
        <v>32.4</v>
      </c>
      <c r="AZ10" s="17">
        <f>AY10/F10</f>
        <v>0.7297297297297297</v>
      </c>
      <c r="BB10" s="17">
        <f t="shared" si="0"/>
        <v>2.7</v>
      </c>
      <c r="BC10" s="30">
        <f t="shared" si="1"/>
        <v>0.25117947599910967</v>
      </c>
      <c r="BD10" s="30">
        <f>LN(AY10/AT10)/7</f>
        <v>0.13767042439553415</v>
      </c>
      <c r="BE10" s="30">
        <f t="shared" si="3"/>
        <v>0.10779930014653742</v>
      </c>
      <c r="BH10" s="20">
        <f>5.5*(36/12)</f>
        <v>16.5</v>
      </c>
      <c r="BJ10" s="17">
        <v>16</v>
      </c>
      <c r="BL10" s="17">
        <v>4</v>
      </c>
    </row>
    <row r="11" spans="1:62" ht="12.75">
      <c r="A11" s="13" t="s">
        <v>115</v>
      </c>
      <c r="B11" s="23">
        <v>2.7</v>
      </c>
      <c r="C11" s="31"/>
      <c r="D11" s="14"/>
      <c r="E11" s="14"/>
      <c r="F11" s="27">
        <v>49.6</v>
      </c>
      <c r="G11" s="96"/>
      <c r="H11" s="84"/>
      <c r="I11" s="19"/>
      <c r="J11" s="27"/>
      <c r="K11" s="16"/>
      <c r="O11" s="19"/>
      <c r="Q11" s="27"/>
      <c r="S11" s="17">
        <f>1.904-1.516</f>
        <v>0.3879999999999999</v>
      </c>
      <c r="W11" s="16">
        <v>54</v>
      </c>
      <c r="AQ11" s="17">
        <v>8.3</v>
      </c>
      <c r="AT11" s="27">
        <v>13.6</v>
      </c>
      <c r="AU11" s="20">
        <f>AT11/F11</f>
        <v>0.27419354838709675</v>
      </c>
      <c r="AV11" s="21">
        <f>(AT11-AQ11)/3</f>
        <v>1.7666666666666664</v>
      </c>
      <c r="AW11" s="17">
        <v>17.9</v>
      </c>
      <c r="AX11" s="17">
        <f t="shared" si="2"/>
        <v>2.1499999999999995</v>
      </c>
      <c r="AY11" s="17">
        <v>30</v>
      </c>
      <c r="BA11" s="17">
        <v>0.6048387096774194</v>
      </c>
      <c r="BB11" s="17">
        <f t="shared" si="0"/>
        <v>2.4200000000000004</v>
      </c>
      <c r="BC11" s="30">
        <f t="shared" si="1"/>
        <v>0.24939321039035667</v>
      </c>
      <c r="BD11" s="30">
        <f>LN(AY11/AT11)/7</f>
        <v>0.11301822698859273</v>
      </c>
      <c r="BE11" s="30">
        <f t="shared" si="3"/>
        <v>0.10327933376308925</v>
      </c>
      <c r="BI11" s="17">
        <v>16</v>
      </c>
      <c r="BJ11" s="17">
        <v>18</v>
      </c>
    </row>
    <row r="12" spans="1:64" s="5" customFormat="1" ht="12.75">
      <c r="A12" s="13" t="s">
        <v>152</v>
      </c>
      <c r="B12" s="42"/>
      <c r="C12" s="43"/>
      <c r="D12" s="43"/>
      <c r="E12" s="43"/>
      <c r="F12" s="5">
        <v>40.8</v>
      </c>
      <c r="G12" s="96"/>
      <c r="H12" s="84"/>
      <c r="I12" s="19">
        <f>F13/F12</f>
        <v>1.1495098039215688</v>
      </c>
      <c r="J12" s="5">
        <v>14.6</v>
      </c>
      <c r="K12" s="5">
        <v>18.7</v>
      </c>
      <c r="L12" s="5">
        <v>28.6</v>
      </c>
      <c r="M12" s="5">
        <v>24.2</v>
      </c>
      <c r="N12" s="5">
        <v>4.2</v>
      </c>
      <c r="O12" s="5">
        <v>0.51</v>
      </c>
      <c r="P12" s="5">
        <v>29.5</v>
      </c>
      <c r="Q12" s="27">
        <f>N12*O12</f>
        <v>2.1420000000000003</v>
      </c>
      <c r="R12" s="5" t="s">
        <v>319</v>
      </c>
      <c r="V12" s="17"/>
      <c r="AB12" s="17">
        <f>LN(Q12/2)/((K12+BG12/2))</f>
        <v>0.0028942106103633704</v>
      </c>
      <c r="AC12" s="17">
        <f>(LN(Q12/2))/AB12</f>
        <v>23.7</v>
      </c>
      <c r="AD12" s="17">
        <f>LN((BH12/L12*12+1)/2*(O12+O13)/2)/AC12</f>
        <v>0.0028942106103633704</v>
      </c>
      <c r="AE12" s="17"/>
      <c r="AF12" s="47">
        <v>424</v>
      </c>
      <c r="AG12" s="48">
        <v>980</v>
      </c>
      <c r="AH12" s="49">
        <v>0.4326530612244898</v>
      </c>
      <c r="AI12" s="33">
        <f>L12-9</f>
        <v>19.6</v>
      </c>
      <c r="AJ12" s="33">
        <f>(K12-AI12/12)/P12</f>
        <v>0.5785310734463277</v>
      </c>
      <c r="AK12" s="17"/>
      <c r="AL12" s="17">
        <v>28.5</v>
      </c>
      <c r="AM12" s="5">
        <v>0.6</v>
      </c>
      <c r="AN12" s="17">
        <f>O12/AM12</f>
        <v>0.8500000000000001</v>
      </c>
      <c r="AO12" s="17">
        <f>O12/(1-AL12/100)</f>
        <v>0.7132867132867132</v>
      </c>
      <c r="AT12" s="27"/>
      <c r="AU12" s="19"/>
      <c r="AV12" s="27"/>
      <c r="AZ12" s="17"/>
      <c r="BA12" s="17"/>
      <c r="BC12" s="34"/>
      <c r="BD12" s="30"/>
      <c r="BE12" s="30"/>
      <c r="BF12" s="5">
        <v>28.7</v>
      </c>
      <c r="BG12" s="27">
        <f>BF12-K12</f>
        <v>10</v>
      </c>
      <c r="BH12" s="20">
        <f>(N12-1)*(L12/12)</f>
        <v>7.626666666666667</v>
      </c>
      <c r="BK12" s="5">
        <v>0.85</v>
      </c>
      <c r="BL12" s="27">
        <f>K12-J12</f>
        <v>4.1</v>
      </c>
    </row>
    <row r="13" spans="1:61" s="5" customFormat="1" ht="12.75">
      <c r="A13" s="13" t="s">
        <v>153</v>
      </c>
      <c r="B13" s="27"/>
      <c r="F13" s="5">
        <v>46.9</v>
      </c>
      <c r="G13" s="96"/>
      <c r="H13" s="84"/>
      <c r="K13" s="5">
        <v>22.7</v>
      </c>
      <c r="O13" s="5">
        <v>0.51</v>
      </c>
      <c r="Q13" s="27"/>
      <c r="V13" s="17"/>
      <c r="AI13" s="24"/>
      <c r="AJ13" s="24"/>
      <c r="AT13" s="27"/>
      <c r="AU13" s="19"/>
      <c r="AV13" s="27"/>
      <c r="AZ13" s="17"/>
      <c r="BA13" s="17"/>
      <c r="BC13" s="34"/>
      <c r="BD13" s="30"/>
      <c r="BE13" s="30"/>
      <c r="BH13" s="19"/>
      <c r="BI13" s="5">
        <v>5</v>
      </c>
    </row>
    <row r="14" spans="1:69" ht="12.75">
      <c r="A14" s="13" t="s">
        <v>472</v>
      </c>
      <c r="B14" s="23">
        <f>(AY14-AT14)/7</f>
        <v>2.1</v>
      </c>
      <c r="C14" s="31" t="s">
        <v>50</v>
      </c>
      <c r="D14" s="14" t="s">
        <v>320</v>
      </c>
      <c r="E14" s="14" t="s">
        <v>28</v>
      </c>
      <c r="F14" s="27">
        <v>41.3</v>
      </c>
      <c r="G14" s="96"/>
      <c r="H14" s="84"/>
      <c r="I14" s="19">
        <f>F15/F14</f>
        <v>1.3438256658595642</v>
      </c>
      <c r="K14" s="5">
        <v>19.2</v>
      </c>
      <c r="L14" s="5">
        <v>44</v>
      </c>
      <c r="N14" s="5">
        <v>6.4</v>
      </c>
      <c r="O14" s="19"/>
      <c r="Q14" s="27"/>
      <c r="R14" s="17" t="s">
        <v>580</v>
      </c>
      <c r="W14" s="16"/>
      <c r="AC14" s="17">
        <v>27.8</v>
      </c>
      <c r="AF14" s="47">
        <v>595</v>
      </c>
      <c r="AG14" s="48">
        <v>2600</v>
      </c>
      <c r="AH14" s="49">
        <v>0.22884615384615384</v>
      </c>
      <c r="AI14" s="33">
        <f>L14-9</f>
        <v>35</v>
      </c>
      <c r="AL14" s="17">
        <v>28</v>
      </c>
      <c r="AM14" s="17">
        <v>0.62</v>
      </c>
      <c r="AP14" s="17">
        <v>2.44</v>
      </c>
      <c r="AQ14" s="17">
        <v>8.04</v>
      </c>
      <c r="AR14" s="17">
        <f>AQ14/1.75</f>
        <v>4.594285714285713</v>
      </c>
      <c r="AT14" s="27">
        <v>11.5</v>
      </c>
      <c r="AU14" s="20">
        <f>AT14/F14</f>
        <v>0.2784503631961259</v>
      </c>
      <c r="AV14" s="21">
        <f>(AT14-AQ14)/3</f>
        <v>1.1533333333333335</v>
      </c>
      <c r="AW14" s="17">
        <v>15.9</v>
      </c>
      <c r="AX14" s="17">
        <f>(AW14-AT14)/2</f>
        <v>2.2</v>
      </c>
      <c r="AY14" s="17">
        <v>26.2</v>
      </c>
      <c r="AZ14" s="17">
        <f>AY14/F14</f>
        <v>0.6343825665859565</v>
      </c>
      <c r="BB14" s="17">
        <f aca="true" t="shared" si="4" ref="BB14:BB19">(AY14-AW14)/5</f>
        <v>2.0599999999999996</v>
      </c>
      <c r="BC14" s="30">
        <f aca="true" t="shared" si="5" ref="BC14:BC25">B14/((AW14+AY14)/2)^0.75</f>
        <v>0.21368804195828003</v>
      </c>
      <c r="BD14" s="30">
        <f>LN(AY14/AT14)/7</f>
        <v>0.11763033934254952</v>
      </c>
      <c r="BE14" s="30">
        <f t="shared" si="3"/>
        <v>0.09988806030817304</v>
      </c>
      <c r="BH14" s="20">
        <f>(N14-1)*(L14/12)</f>
        <v>19.8</v>
      </c>
      <c r="BI14" s="5"/>
      <c r="BJ14" s="5">
        <v>13.5</v>
      </c>
      <c r="BK14" s="5">
        <v>1.21</v>
      </c>
      <c r="BP14" s="17">
        <v>0.55</v>
      </c>
      <c r="BQ14" s="17">
        <v>2150</v>
      </c>
    </row>
    <row r="15" spans="1:63" ht="12.75">
      <c r="A15" s="13" t="s">
        <v>473</v>
      </c>
      <c r="B15" s="23">
        <f>(31-AT15)/9</f>
        <v>1.9333333333333331</v>
      </c>
      <c r="C15" s="5">
        <v>12</v>
      </c>
      <c r="D15" s="5">
        <v>14</v>
      </c>
      <c r="E15" s="15">
        <v>16.5</v>
      </c>
      <c r="F15" s="27">
        <v>55.5</v>
      </c>
      <c r="G15" s="96"/>
      <c r="H15" s="84"/>
      <c r="I15" s="19"/>
      <c r="N15" s="5"/>
      <c r="Q15" s="14"/>
      <c r="W15" s="16"/>
      <c r="AP15" s="17">
        <v>2.44</v>
      </c>
      <c r="AQ15" s="17">
        <v>8.04</v>
      </c>
      <c r="AR15" s="17">
        <f>AQ15/1.75</f>
        <v>4.594285714285713</v>
      </c>
      <c r="AT15" s="27">
        <v>13.6</v>
      </c>
      <c r="AU15" s="20">
        <f>AT15/F15</f>
        <v>0.24504504504504504</v>
      </c>
      <c r="AV15" s="21">
        <f>(AT15-AQ15)/3</f>
        <v>1.8533333333333335</v>
      </c>
      <c r="AW15" s="17">
        <v>16.3</v>
      </c>
      <c r="AX15" s="17">
        <f>(AW15-AT15)/2</f>
        <v>1.3500000000000005</v>
      </c>
      <c r="AY15" s="17">
        <v>23</v>
      </c>
      <c r="BA15" s="17">
        <v>0.4144144144144144</v>
      </c>
      <c r="BB15" s="17">
        <f t="shared" si="4"/>
        <v>1.3399999999999999</v>
      </c>
      <c r="BC15" s="30">
        <f t="shared" si="5"/>
        <v>0.20714994523090144</v>
      </c>
      <c r="BD15" s="30">
        <f>LN(AY15/AT15)/7</f>
        <v>0.07506063188387761</v>
      </c>
      <c r="BE15" s="30">
        <f t="shared" si="3"/>
        <v>0.06886582162328658</v>
      </c>
      <c r="BI15" s="5">
        <v>42</v>
      </c>
      <c r="BJ15" s="5">
        <v>25</v>
      </c>
      <c r="BK15" s="5"/>
    </row>
    <row r="16" spans="1:63" ht="12.75">
      <c r="A16" s="13" t="s">
        <v>339</v>
      </c>
      <c r="B16" s="27">
        <v>1.8</v>
      </c>
      <c r="C16" s="14" t="s">
        <v>74</v>
      </c>
      <c r="D16" s="5"/>
      <c r="E16" s="15"/>
      <c r="F16" s="27">
        <v>50.4</v>
      </c>
      <c r="G16" s="96">
        <f>7.657/F16</f>
        <v>0.15192460317460318</v>
      </c>
      <c r="H16" s="84">
        <v>11</v>
      </c>
      <c r="I16" s="19">
        <f>F17/F16</f>
        <v>1.2123015873015874</v>
      </c>
      <c r="K16" s="43">
        <v>17.2</v>
      </c>
      <c r="L16" s="43">
        <v>34</v>
      </c>
      <c r="N16" s="5"/>
      <c r="Q16" s="14"/>
      <c r="S16" s="17">
        <f>1.881-1.071</f>
        <v>0.81</v>
      </c>
      <c r="W16" s="16"/>
      <c r="AF16" s="33">
        <v>326</v>
      </c>
      <c r="AG16" s="33">
        <f>(118000+172667+530520)/100</f>
        <v>8211.87</v>
      </c>
      <c r="AH16" s="33">
        <f>AF16/AG16</f>
        <v>0.03969863137141723</v>
      </c>
      <c r="AI16" s="33">
        <f>L16-9</f>
        <v>25</v>
      </c>
      <c r="AQ16" s="17">
        <v>6.7</v>
      </c>
      <c r="AR16" s="17">
        <f>AQ16/1.75</f>
        <v>3.8285714285714287</v>
      </c>
      <c r="AT16" s="27">
        <v>13.8</v>
      </c>
      <c r="AU16" s="20">
        <f>AT16/F16</f>
        <v>0.27380952380952384</v>
      </c>
      <c r="AV16" s="21">
        <f>(AT16-AQ16)/3</f>
        <v>2.3666666666666667</v>
      </c>
      <c r="AW16" s="17">
        <v>19</v>
      </c>
      <c r="AX16" s="17">
        <f>(AW16-AT16)/2</f>
        <v>2.5999999999999996</v>
      </c>
      <c r="AY16" s="17">
        <f>(23.7+35.4)/2</f>
        <v>29.549999999999997</v>
      </c>
      <c r="AZ16" s="17">
        <f>AY16/F16</f>
        <v>0.5863095238095237</v>
      </c>
      <c r="BB16" s="17">
        <f t="shared" si="4"/>
        <v>2.1099999999999994</v>
      </c>
      <c r="BC16" s="30">
        <f t="shared" si="5"/>
        <v>0.1645898601306937</v>
      </c>
      <c r="BD16" s="30">
        <f>LN(AY16/AT16)/7</f>
        <v>0.10877359309842115</v>
      </c>
      <c r="BE16" s="30">
        <f t="shared" si="3"/>
        <v>0.08832895293713333</v>
      </c>
      <c r="BI16" s="5"/>
      <c r="BJ16" s="5"/>
      <c r="BK16" s="5"/>
    </row>
    <row r="17" spans="1:63" ht="12.75">
      <c r="A17" s="13" t="s">
        <v>338</v>
      </c>
      <c r="B17" s="27">
        <v>2</v>
      </c>
      <c r="C17" s="5"/>
      <c r="D17" s="5"/>
      <c r="E17" s="15"/>
      <c r="F17" s="27">
        <v>61.1</v>
      </c>
      <c r="G17" s="96">
        <f>5.672/F17</f>
        <v>0.09283142389525367</v>
      </c>
      <c r="H17" s="84">
        <v>22</v>
      </c>
      <c r="I17" s="19"/>
      <c r="N17" s="5"/>
      <c r="Q17" s="14"/>
      <c r="S17" s="17">
        <f>2.582-2.145</f>
        <v>0.43699999999999983</v>
      </c>
      <c r="W17" s="16"/>
      <c r="AQ17" s="17">
        <v>7</v>
      </c>
      <c r="AR17" s="17">
        <f>AQ17/1.75</f>
        <v>4</v>
      </c>
      <c r="AT17" s="27">
        <v>12.4</v>
      </c>
      <c r="AU17" s="20">
        <f>AT17/F17</f>
        <v>0.20294599018003273</v>
      </c>
      <c r="AV17" s="21">
        <f>(AT17-AQ17)/3</f>
        <v>1.8</v>
      </c>
      <c r="AW17" s="17">
        <v>15.63</v>
      </c>
      <c r="AX17" s="17">
        <f>(AW17-AT17)/2</f>
        <v>1.6150000000000002</v>
      </c>
      <c r="AY17" s="17">
        <v>29.5</v>
      </c>
      <c r="BA17" s="17">
        <v>0.4828150572831424</v>
      </c>
      <c r="BB17" s="17">
        <f t="shared" si="4"/>
        <v>2.774</v>
      </c>
      <c r="BC17" s="30">
        <f t="shared" si="5"/>
        <v>0.19317614374681927</v>
      </c>
      <c r="BD17" s="30">
        <f>LN(AY17/AT17)/7</f>
        <v>0.12381339867639755</v>
      </c>
      <c r="BE17" s="30">
        <f t="shared" si="3"/>
        <v>0.12703962378247777</v>
      </c>
      <c r="BI17" s="5"/>
      <c r="BJ17" s="5"/>
      <c r="BK17" s="5"/>
    </row>
    <row r="18" spans="1:62" ht="12.75">
      <c r="A18" s="13" t="s">
        <v>6</v>
      </c>
      <c r="B18" s="23">
        <v>1.9</v>
      </c>
      <c r="C18" s="31" t="s">
        <v>74</v>
      </c>
      <c r="D18" s="14" t="s">
        <v>70</v>
      </c>
      <c r="E18" s="14" t="s">
        <v>51</v>
      </c>
      <c r="F18" s="16">
        <v>48</v>
      </c>
      <c r="G18" s="96"/>
      <c r="H18" s="84"/>
      <c r="I18" s="19">
        <f>F19/F18</f>
        <v>1.125</v>
      </c>
      <c r="J18" s="16">
        <v>16</v>
      </c>
      <c r="K18" s="16">
        <v>19</v>
      </c>
      <c r="L18" s="5">
        <v>38</v>
      </c>
      <c r="M18" s="5">
        <v>33.8</v>
      </c>
      <c r="N18" s="5">
        <v>6.2</v>
      </c>
      <c r="O18" s="19">
        <v>0.54</v>
      </c>
      <c r="P18" s="5">
        <v>44</v>
      </c>
      <c r="Q18" s="27">
        <f>N18*(O18+O19)/2</f>
        <v>3.3480000000000003</v>
      </c>
      <c r="R18" s="17" t="s">
        <v>170</v>
      </c>
      <c r="V18" s="17">
        <v>19</v>
      </c>
      <c r="W18" s="16">
        <v>48</v>
      </c>
      <c r="AB18" s="17">
        <f>LN(Q18/2)/((K18+BH18/2))</f>
        <v>0.01891857914567749</v>
      </c>
      <c r="AC18" s="17">
        <f>(LN(Q18/2))/AB18</f>
        <v>27.233333333333334</v>
      </c>
      <c r="AD18" s="17">
        <f>LN((BH18/L18*12+1)/2*(O18+O19)/2)/AC18</f>
        <v>0.018918579145677485</v>
      </c>
      <c r="AF18" s="47">
        <v>600</v>
      </c>
      <c r="AG18" s="48">
        <v>2500</v>
      </c>
      <c r="AH18" s="49">
        <v>0.24</v>
      </c>
      <c r="AI18" s="55">
        <v>30</v>
      </c>
      <c r="AJ18" s="33">
        <f>(K18-AI18/12)/P18</f>
        <v>0.375</v>
      </c>
      <c r="AL18" s="17">
        <v>21</v>
      </c>
      <c r="AM18" s="17">
        <v>0.71</v>
      </c>
      <c r="AN18" s="17">
        <f>O18/AM18</f>
        <v>0.7605633802816902</v>
      </c>
      <c r="AO18" s="17">
        <f>O18/(1-AL18/100)</f>
        <v>0.6835443037974683</v>
      </c>
      <c r="AT18" s="27"/>
      <c r="AU18" s="19"/>
      <c r="AV18" s="27"/>
      <c r="AW18" s="17">
        <v>15.5</v>
      </c>
      <c r="AY18" s="17">
        <v>20</v>
      </c>
      <c r="AZ18" s="17">
        <f>AY18/F18</f>
        <v>0.4166666666666667</v>
      </c>
      <c r="BB18" s="17">
        <f t="shared" si="4"/>
        <v>0.9</v>
      </c>
      <c r="BC18" s="30">
        <f t="shared" si="5"/>
        <v>0.2197125339839119</v>
      </c>
      <c r="BE18" s="30">
        <f t="shared" si="3"/>
        <v>0.05097844992575801</v>
      </c>
      <c r="BH18" s="20">
        <f>(N18-1)*(L18/12)</f>
        <v>16.466666666666665</v>
      </c>
      <c r="BJ18" s="17">
        <v>16</v>
      </c>
    </row>
    <row r="19" spans="1:62" ht="12.75">
      <c r="A19" s="13" t="s">
        <v>7</v>
      </c>
      <c r="B19" s="23">
        <v>1.8</v>
      </c>
      <c r="C19" s="31" t="s">
        <v>31</v>
      </c>
      <c r="D19" s="14"/>
      <c r="E19" s="14" t="s">
        <v>51</v>
      </c>
      <c r="F19" s="16">
        <v>54</v>
      </c>
      <c r="G19" s="96"/>
      <c r="H19" s="84"/>
      <c r="I19" s="19"/>
      <c r="J19" s="27"/>
      <c r="K19" s="27"/>
      <c r="O19" s="19">
        <v>0.54</v>
      </c>
      <c r="Q19" s="27"/>
      <c r="V19" s="17">
        <v>21</v>
      </c>
      <c r="W19" s="16">
        <v>54</v>
      </c>
      <c r="AT19" s="27"/>
      <c r="AU19" s="19"/>
      <c r="AV19" s="27"/>
      <c r="AW19" s="17">
        <v>14.2</v>
      </c>
      <c r="AY19" s="17">
        <v>21.2</v>
      </c>
      <c r="BA19" s="17">
        <v>0.3925925925925926</v>
      </c>
      <c r="BB19" s="17">
        <f t="shared" si="4"/>
        <v>1.4</v>
      </c>
      <c r="BC19" s="30">
        <f t="shared" si="5"/>
        <v>0.20858955391415457</v>
      </c>
      <c r="BE19" s="30">
        <f t="shared" si="3"/>
        <v>0.08015184341415035</v>
      </c>
      <c r="BI19" s="17">
        <v>3</v>
      </c>
      <c r="BJ19" s="17">
        <v>20</v>
      </c>
    </row>
    <row r="20" spans="1:69" ht="12.75">
      <c r="A20" s="13" t="s">
        <v>8</v>
      </c>
      <c r="B20" s="23">
        <v>2.6</v>
      </c>
      <c r="C20" s="31"/>
      <c r="D20" s="27"/>
      <c r="E20" s="14"/>
      <c r="F20" s="27">
        <v>49.7</v>
      </c>
      <c r="G20" s="96">
        <f>5.389/F20</f>
        <v>0.10843058350100604</v>
      </c>
      <c r="H20" s="84">
        <v>116</v>
      </c>
      <c r="I20" s="19">
        <f>F21/F20</f>
        <v>1.1549295774647887</v>
      </c>
      <c r="J20" s="5">
        <v>12.6</v>
      </c>
      <c r="K20" s="27" t="s">
        <v>678</v>
      </c>
      <c r="L20" s="5">
        <v>45.1</v>
      </c>
      <c r="M20" s="24">
        <v>29</v>
      </c>
      <c r="N20" s="5">
        <v>5.1</v>
      </c>
      <c r="O20" s="19">
        <v>0.45</v>
      </c>
      <c r="P20" s="24">
        <v>32</v>
      </c>
      <c r="Q20" s="27">
        <f>N20*(O20+O21)/2</f>
        <v>2.5755</v>
      </c>
      <c r="R20" s="17" t="s">
        <v>602</v>
      </c>
      <c r="S20" s="17">
        <v>0.34</v>
      </c>
      <c r="V20" s="17">
        <v>17</v>
      </c>
      <c r="W20" s="16">
        <f>(44+53)/2</f>
        <v>48.5</v>
      </c>
      <c r="Z20" s="17">
        <f>(41.6+42.9)/2</f>
        <v>42.25</v>
      </c>
      <c r="AA20" s="17">
        <f>Z20/F20</f>
        <v>0.8501006036217303</v>
      </c>
      <c r="AB20" s="17">
        <f>LN(Q20/2)/((20.5+BH20/2))</f>
        <v>0.008966504006626259</v>
      </c>
      <c r="AC20" s="17">
        <f>(LN(Q20/2))/AB20</f>
        <v>28.204583333333332</v>
      </c>
      <c r="AF20" s="47">
        <v>1540</v>
      </c>
      <c r="AG20" s="48">
        <v>8740</v>
      </c>
      <c r="AH20" s="49">
        <v>0.17620137299771166</v>
      </c>
      <c r="AI20" s="33">
        <f>L20-9</f>
        <v>36.1</v>
      </c>
      <c r="AJ20" s="33" t="e">
        <f>(K20-AI20/12)/P20</f>
        <v>#VALUE!</v>
      </c>
      <c r="AL20" s="17">
        <v>34</v>
      </c>
      <c r="AO20" s="17">
        <f>O20/(1-AL20/100)</f>
        <v>0.6818181818181819</v>
      </c>
      <c r="AQ20" s="17">
        <v>7</v>
      </c>
      <c r="AR20" s="17">
        <f aca="true" t="shared" si="6" ref="AR20:AR27">AQ20/1.75</f>
        <v>4</v>
      </c>
      <c r="AT20" s="27">
        <v>12.2</v>
      </c>
      <c r="AU20" s="20">
        <f aca="true" t="shared" si="7" ref="AU20:AU25">AT20/F20</f>
        <v>0.24547283702213277</v>
      </c>
      <c r="AV20" s="21">
        <f aca="true" t="shared" si="8" ref="AV20:AV25">(AT20-AQ20)/3</f>
        <v>1.7333333333333332</v>
      </c>
      <c r="AW20" s="17">
        <v>17.2</v>
      </c>
      <c r="AX20" s="17">
        <f aca="true" t="shared" si="9" ref="AX20:AX25">(AW20-AT20)/2</f>
        <v>2.5</v>
      </c>
      <c r="AY20" s="17">
        <f>(31.7+36.2)/2</f>
        <v>33.95</v>
      </c>
      <c r="AZ20" s="17">
        <f>AY20/F20</f>
        <v>0.6830985915492958</v>
      </c>
      <c r="BB20" s="17">
        <f aca="true" t="shared" si="10" ref="BB20:BB39">(AY20-AW20)/5</f>
        <v>3.3500000000000005</v>
      </c>
      <c r="BC20" s="30">
        <f t="shared" si="5"/>
        <v>0.22861862909197875</v>
      </c>
      <c r="BD20" s="30">
        <f aca="true" t="shared" si="11" ref="BD20:BD25">LN(AY20/AT20)/7</f>
        <v>0.1462075574664992</v>
      </c>
      <c r="BE20" s="30">
        <f t="shared" si="3"/>
        <v>0.13599589403705958</v>
      </c>
      <c r="BF20" s="17">
        <v>37.8</v>
      </c>
      <c r="BG20" s="17">
        <f>BF20-20.5</f>
        <v>17.299999999999997</v>
      </c>
      <c r="BH20" s="20">
        <f>(N20-1)*(L20/12)</f>
        <v>15.409166666666666</v>
      </c>
      <c r="BJ20" s="17">
        <v>13</v>
      </c>
      <c r="BK20" s="17">
        <v>1.63</v>
      </c>
      <c r="BL20" s="21">
        <f>17.9-J20</f>
        <v>5.299999999999999</v>
      </c>
      <c r="BQ20" s="17">
        <v>2043</v>
      </c>
    </row>
    <row r="21" spans="1:62" ht="12.75">
      <c r="A21" s="13" t="s">
        <v>9</v>
      </c>
      <c r="B21" s="23">
        <v>2.3</v>
      </c>
      <c r="C21" s="31"/>
      <c r="D21" s="27"/>
      <c r="E21" s="14"/>
      <c r="F21" s="27">
        <v>57.4</v>
      </c>
      <c r="G21" s="96">
        <f>4.745/F21</f>
        <v>0.08266550522648083</v>
      </c>
      <c r="H21" s="84">
        <v>129</v>
      </c>
      <c r="I21" s="19"/>
      <c r="J21" s="27"/>
      <c r="K21" s="27"/>
      <c r="O21" s="19">
        <v>0.56</v>
      </c>
      <c r="Q21" s="27"/>
      <c r="S21" s="17">
        <f>2.074-1.792</f>
        <v>0.2819999999999998</v>
      </c>
      <c r="V21" s="17">
        <v>19.4</v>
      </c>
      <c r="W21" s="16">
        <v>56.4</v>
      </c>
      <c r="AQ21" s="17">
        <v>7.4</v>
      </c>
      <c r="AR21" s="17">
        <f t="shared" si="6"/>
        <v>4.228571428571429</v>
      </c>
      <c r="AT21" s="27">
        <v>12.3</v>
      </c>
      <c r="AU21" s="20">
        <f t="shared" si="7"/>
        <v>0.2142857142857143</v>
      </c>
      <c r="AV21" s="21">
        <f t="shared" si="8"/>
        <v>1.6333333333333335</v>
      </c>
      <c r="AW21" s="17">
        <v>16.6</v>
      </c>
      <c r="AX21" s="17">
        <f t="shared" si="9"/>
        <v>2.1500000000000004</v>
      </c>
      <c r="AY21" s="17">
        <v>28.4</v>
      </c>
      <c r="BA21" s="17">
        <v>0.49477351916376305</v>
      </c>
      <c r="BB21" s="17">
        <f t="shared" si="10"/>
        <v>2.3599999999999994</v>
      </c>
      <c r="BC21" s="30">
        <f t="shared" si="5"/>
        <v>0.22263372226207964</v>
      </c>
      <c r="BD21" s="30">
        <f t="shared" si="11"/>
        <v>0.11954141182696977</v>
      </c>
      <c r="BE21" s="30">
        <f t="shared" si="3"/>
        <v>0.10739728996093253</v>
      </c>
      <c r="BI21" s="17">
        <v>3</v>
      </c>
      <c r="BJ21" s="17">
        <v>17</v>
      </c>
    </row>
    <row r="22" spans="1:69" ht="12.75">
      <c r="A22" s="13" t="s">
        <v>11</v>
      </c>
      <c r="B22" s="23">
        <f>(AY22-AT22)/7</f>
        <v>1.1</v>
      </c>
      <c r="C22" s="31" t="s">
        <v>28</v>
      </c>
      <c r="D22" s="27">
        <v>16</v>
      </c>
      <c r="E22" s="27">
        <v>19.5</v>
      </c>
      <c r="F22" s="27">
        <v>42.2</v>
      </c>
      <c r="G22" s="96">
        <f>5.3/F22</f>
        <v>0.12559241706161137</v>
      </c>
      <c r="H22" s="84">
        <v>579</v>
      </c>
      <c r="I22" s="19">
        <f>F23/F22</f>
        <v>1.1990521327014219</v>
      </c>
      <c r="J22" s="5">
        <v>16.6</v>
      </c>
      <c r="K22" s="27">
        <v>18.8</v>
      </c>
      <c r="L22" s="5">
        <v>41.3</v>
      </c>
      <c r="M22" s="5">
        <v>34.6</v>
      </c>
      <c r="N22" s="5">
        <v>4.8</v>
      </c>
      <c r="O22" s="19">
        <v>0.6</v>
      </c>
      <c r="P22" s="5">
        <v>41.5</v>
      </c>
      <c r="Q22" s="27">
        <f>N22*(O22+O23)/2</f>
        <v>2.7840000000000003</v>
      </c>
      <c r="S22" s="17">
        <f>1.311-1.172</f>
        <v>0.139</v>
      </c>
      <c r="V22" s="17">
        <v>20</v>
      </c>
      <c r="W22" s="16">
        <v>45.1</v>
      </c>
      <c r="Z22" s="17">
        <v>33.7</v>
      </c>
      <c r="AA22" s="17">
        <f>Z22/F22</f>
        <v>0.7985781990521327</v>
      </c>
      <c r="AB22" s="17">
        <f>LN(Q22/2)/((K22+BG22/2))</f>
        <v>0.012433893304970975</v>
      </c>
      <c r="AC22" s="17">
        <f>(LN(Q22/2))/AB22</f>
        <v>26.6</v>
      </c>
      <c r="AF22" s="47">
        <v>726</v>
      </c>
      <c r="AG22" s="48">
        <v>11000</v>
      </c>
      <c r="AH22" s="49">
        <v>0.066</v>
      </c>
      <c r="AI22" s="55">
        <v>42</v>
      </c>
      <c r="AJ22" s="33">
        <f>(K22-AI22/12)/P22</f>
        <v>0.3686746987951807</v>
      </c>
      <c r="AK22" s="17">
        <v>40</v>
      </c>
      <c r="AL22" s="17">
        <v>20.2</v>
      </c>
      <c r="AM22" s="17">
        <v>0.7</v>
      </c>
      <c r="AN22" s="17">
        <f>O22/AM22</f>
        <v>0.8571428571428572</v>
      </c>
      <c r="AO22" s="17">
        <f>O22/(1-AL22/100)</f>
        <v>0.7518796992481203</v>
      </c>
      <c r="AQ22" s="17">
        <v>6.2</v>
      </c>
      <c r="AR22" s="17">
        <f t="shared" si="6"/>
        <v>3.542857142857143</v>
      </c>
      <c r="AT22" s="27">
        <v>11.4</v>
      </c>
      <c r="AU22" s="20">
        <f t="shared" si="7"/>
        <v>0.27014218009478674</v>
      </c>
      <c r="AV22" s="21">
        <f t="shared" si="8"/>
        <v>1.7333333333333334</v>
      </c>
      <c r="AW22" s="17">
        <v>12.8</v>
      </c>
      <c r="AX22" s="17">
        <f t="shared" si="9"/>
        <v>0.7000000000000002</v>
      </c>
      <c r="AY22" s="17">
        <v>19.1</v>
      </c>
      <c r="AZ22" s="17">
        <f>AY22/F22</f>
        <v>0.45260663507109006</v>
      </c>
      <c r="BB22" s="17">
        <f t="shared" si="10"/>
        <v>1.2600000000000002</v>
      </c>
      <c r="BC22" s="30">
        <f t="shared" si="5"/>
        <v>0.13782314935174236</v>
      </c>
      <c r="BD22" s="30">
        <f t="shared" si="11"/>
        <v>0.07372499709316206</v>
      </c>
      <c r="BE22" s="30">
        <f t="shared" si="3"/>
        <v>0.08004863282540255</v>
      </c>
      <c r="BF22" s="17">
        <v>34.4</v>
      </c>
      <c r="BG22" s="21">
        <f>BF22-K22</f>
        <v>15.599999999999998</v>
      </c>
      <c r="BH22" s="20">
        <f>(N22-1)*(L22/12)</f>
        <v>13.078333333333331</v>
      </c>
      <c r="BJ22" s="17">
        <v>17</v>
      </c>
      <c r="BK22" s="17">
        <v>0.81</v>
      </c>
      <c r="BL22" s="21">
        <f>K22-J22</f>
        <v>2.1999999999999993</v>
      </c>
      <c r="BM22" s="17">
        <v>19</v>
      </c>
      <c r="BP22" s="17">
        <v>0.46</v>
      </c>
      <c r="BQ22" s="17">
        <v>2355</v>
      </c>
    </row>
    <row r="23" spans="1:65" ht="12.75">
      <c r="A23" s="13" t="s">
        <v>10</v>
      </c>
      <c r="B23" s="23">
        <f>(AY23-AT23)/7</f>
        <v>1.1571428571428573</v>
      </c>
      <c r="C23" s="36">
        <v>13</v>
      </c>
      <c r="D23" s="27">
        <v>16</v>
      </c>
      <c r="E23" s="14" t="s">
        <v>30</v>
      </c>
      <c r="F23" s="27">
        <v>50.6</v>
      </c>
      <c r="G23" s="96">
        <f>5.226/F23</f>
        <v>0.10328063241106719</v>
      </c>
      <c r="H23" s="84">
        <v>535</v>
      </c>
      <c r="I23" s="19"/>
      <c r="J23" s="27"/>
      <c r="K23" s="27"/>
      <c r="O23" s="19">
        <v>0.56</v>
      </c>
      <c r="Q23" s="27"/>
      <c r="S23" s="17">
        <f>1.55-1.427</f>
        <v>0.123</v>
      </c>
      <c r="V23" s="17">
        <v>21.7</v>
      </c>
      <c r="W23" s="16">
        <v>53.4</v>
      </c>
      <c r="AQ23" s="17">
        <v>7</v>
      </c>
      <c r="AR23" s="17">
        <f t="shared" si="6"/>
        <v>4</v>
      </c>
      <c r="AT23" s="27">
        <v>11.5</v>
      </c>
      <c r="AU23" s="20">
        <f t="shared" si="7"/>
        <v>0.22727272727272727</v>
      </c>
      <c r="AV23" s="21">
        <f t="shared" si="8"/>
        <v>1.5</v>
      </c>
      <c r="AW23" s="17">
        <v>13.8</v>
      </c>
      <c r="AX23" s="17">
        <f t="shared" si="9"/>
        <v>1.1500000000000004</v>
      </c>
      <c r="AY23" s="17">
        <v>19.6</v>
      </c>
      <c r="BA23" s="17">
        <v>0.3873517786561265</v>
      </c>
      <c r="BB23" s="17">
        <f t="shared" si="10"/>
        <v>1.1600000000000001</v>
      </c>
      <c r="BC23" s="30">
        <f t="shared" si="5"/>
        <v>0.14007145034652793</v>
      </c>
      <c r="BD23" s="30">
        <f t="shared" si="11"/>
        <v>0.07616893298103819</v>
      </c>
      <c r="BE23" s="30">
        <f t="shared" si="3"/>
        <v>0.07017219481466253</v>
      </c>
      <c r="BI23" s="17">
        <v>5</v>
      </c>
      <c r="BJ23" s="17">
        <v>25</v>
      </c>
      <c r="BM23" s="17">
        <v>19</v>
      </c>
    </row>
    <row r="24" spans="1:57" ht="12.75">
      <c r="A24" s="13" t="s">
        <v>203</v>
      </c>
      <c r="B24" s="23">
        <f>(AY24-AT24)/7</f>
        <v>1.7857142857142858</v>
      </c>
      <c r="C24" s="31" t="s">
        <v>31</v>
      </c>
      <c r="D24" s="14" t="s">
        <v>32</v>
      </c>
      <c r="E24" s="14" t="s">
        <v>29</v>
      </c>
      <c r="F24" s="27">
        <v>49.7</v>
      </c>
      <c r="G24" s="96">
        <f>8.858/F24</f>
        <v>0.17822937625754529</v>
      </c>
      <c r="H24" s="84">
        <v>17</v>
      </c>
      <c r="I24" s="19">
        <f>F25/F24</f>
        <v>1.2193158953722334</v>
      </c>
      <c r="J24" s="27"/>
      <c r="K24" s="16">
        <v>18</v>
      </c>
      <c r="L24" s="5">
        <v>31.4</v>
      </c>
      <c r="O24" s="19"/>
      <c r="Q24" s="27"/>
      <c r="S24" s="17">
        <f>1.691-1.212</f>
        <v>0.4790000000000001</v>
      </c>
      <c r="W24" s="16">
        <v>51.4</v>
      </c>
      <c r="AF24" s="17">
        <f>107+180</f>
        <v>287</v>
      </c>
      <c r="AG24" s="17">
        <f>240000/100+4031</f>
        <v>6431</v>
      </c>
      <c r="AH24" s="17">
        <f>AF24/AG24</f>
        <v>0.044627585134504745</v>
      </c>
      <c r="AI24" s="33">
        <f>L24-9</f>
        <v>22.4</v>
      </c>
      <c r="AQ24" s="17">
        <v>7.1</v>
      </c>
      <c r="AR24" s="17">
        <f t="shared" si="6"/>
        <v>4.057142857142857</v>
      </c>
      <c r="AT24" s="27">
        <v>10.8</v>
      </c>
      <c r="AU24" s="20">
        <f t="shared" si="7"/>
        <v>0.21730382293762576</v>
      </c>
      <c r="AV24" s="21">
        <f t="shared" si="8"/>
        <v>1.2333333333333336</v>
      </c>
      <c r="AW24" s="17">
        <v>13.8</v>
      </c>
      <c r="AX24" s="17">
        <f t="shared" si="9"/>
        <v>1.5</v>
      </c>
      <c r="AY24" s="17">
        <v>23.3</v>
      </c>
      <c r="AZ24" s="17">
        <f>AY24/F24</f>
        <v>0.46881287726358145</v>
      </c>
      <c r="BB24" s="17">
        <f t="shared" si="10"/>
        <v>1.9</v>
      </c>
      <c r="BC24" s="30">
        <f t="shared" si="5"/>
        <v>0.19978093324268323</v>
      </c>
      <c r="BD24" s="30">
        <f t="shared" si="11"/>
        <v>0.10984388949164013</v>
      </c>
      <c r="BE24" s="30">
        <f t="shared" si="3"/>
        <v>0.10475695368169917</v>
      </c>
    </row>
    <row r="25" spans="1:57" ht="12.75">
      <c r="A25" s="13" t="s">
        <v>204</v>
      </c>
      <c r="B25" s="23">
        <f>(AY25-AT25)/7</f>
        <v>1.9285714285714286</v>
      </c>
      <c r="C25" s="31" t="s">
        <v>27</v>
      </c>
      <c r="D25" s="14" t="s">
        <v>32</v>
      </c>
      <c r="E25" s="14" t="s">
        <v>33</v>
      </c>
      <c r="F25" s="27">
        <v>60.6</v>
      </c>
      <c r="G25" s="96">
        <f>8.894/F25</f>
        <v>0.14676567656765677</v>
      </c>
      <c r="H25" s="84">
        <v>27</v>
      </c>
      <c r="I25" s="19"/>
      <c r="J25" s="27"/>
      <c r="K25" s="16">
        <v>22</v>
      </c>
      <c r="O25" s="19"/>
      <c r="Q25" s="27"/>
      <c r="S25" s="17">
        <f>1.906-1.448</f>
        <v>0.45799999999999996</v>
      </c>
      <c r="W25" s="16">
        <v>61.5</v>
      </c>
      <c r="AQ25" s="17">
        <v>7.5</v>
      </c>
      <c r="AR25" s="17">
        <f t="shared" si="6"/>
        <v>4.285714285714286</v>
      </c>
      <c r="AT25" s="27">
        <f>(9.2+12.6)/2</f>
        <v>10.899999999999999</v>
      </c>
      <c r="AU25" s="20">
        <f t="shared" si="7"/>
        <v>0.17986798679867985</v>
      </c>
      <c r="AV25" s="21">
        <f t="shared" si="8"/>
        <v>1.1333333333333329</v>
      </c>
      <c r="AW25" s="17">
        <v>14.4</v>
      </c>
      <c r="AX25" s="17">
        <f t="shared" si="9"/>
        <v>1.7500000000000009</v>
      </c>
      <c r="AY25" s="17">
        <v>24.4</v>
      </c>
      <c r="BA25" s="17">
        <v>0.40264026402640263</v>
      </c>
      <c r="BB25" s="17">
        <f t="shared" si="10"/>
        <v>1.9999999999999996</v>
      </c>
      <c r="BC25" s="30">
        <f t="shared" si="5"/>
        <v>0.20863368604011098</v>
      </c>
      <c r="BD25" s="30">
        <f t="shared" si="11"/>
        <v>0.11511719186629406</v>
      </c>
      <c r="BE25" s="30">
        <f t="shared" si="3"/>
        <v>0.10547098514344022</v>
      </c>
    </row>
    <row r="26" spans="1:62" ht="12.75">
      <c r="A26" s="13" t="s">
        <v>300</v>
      </c>
      <c r="B26" s="23"/>
      <c r="C26" s="14"/>
      <c r="D26" s="5"/>
      <c r="E26" s="5"/>
      <c r="F26" s="5">
        <v>39.4</v>
      </c>
      <c r="G26" s="96"/>
      <c r="H26" s="84"/>
      <c r="I26" s="19">
        <f>F27/F26</f>
        <v>1.0913705583756346</v>
      </c>
      <c r="J26" s="5">
        <v>15.5</v>
      </c>
      <c r="K26" s="5" t="s">
        <v>626</v>
      </c>
      <c r="L26" s="5">
        <v>37.5</v>
      </c>
      <c r="M26" s="5">
        <v>15.6</v>
      </c>
      <c r="N26" s="24">
        <v>5.5</v>
      </c>
      <c r="O26" s="43">
        <v>0.44</v>
      </c>
      <c r="P26" s="43">
        <v>20</v>
      </c>
      <c r="Q26" s="27">
        <f>N26*O26</f>
        <v>2.42</v>
      </c>
      <c r="W26" s="5"/>
      <c r="AB26" s="17">
        <f>LN(Q26/2)/27</f>
        <v>0.007060013318838878</v>
      </c>
      <c r="AC26" s="17">
        <f>(LN(Q26/2))/AB26</f>
        <v>27</v>
      </c>
      <c r="AF26" s="47">
        <v>35000</v>
      </c>
      <c r="AG26" s="48">
        <v>62900</v>
      </c>
      <c r="AH26" s="49">
        <f>AF26/AG26</f>
        <v>0.5564387917329093</v>
      </c>
      <c r="AI26" s="55">
        <v>36</v>
      </c>
      <c r="AK26" s="44"/>
      <c r="AL26" s="57">
        <v>33</v>
      </c>
      <c r="AM26" s="17">
        <v>0.53</v>
      </c>
      <c r="AN26" s="17">
        <f>O26/AM26</f>
        <v>0.830188679245283</v>
      </c>
      <c r="AO26" s="17">
        <f>O26/(1-AL26/100)</f>
        <v>0.6567164179104479</v>
      </c>
      <c r="AP26" s="17">
        <v>2.64</v>
      </c>
      <c r="AQ26" s="17">
        <v>7.5</v>
      </c>
      <c r="AR26" s="17">
        <f t="shared" si="6"/>
        <v>4.285714285714286</v>
      </c>
      <c r="AT26" s="27"/>
      <c r="AU26" s="19"/>
      <c r="AV26" s="27"/>
      <c r="BH26" s="20">
        <f>(N26-1)*(L26/12)</f>
        <v>14.0625</v>
      </c>
      <c r="BJ26" s="17">
        <v>15</v>
      </c>
    </row>
    <row r="27" spans="1:62" ht="12.75">
      <c r="A27" s="13" t="s">
        <v>301</v>
      </c>
      <c r="B27" s="23"/>
      <c r="C27" s="31"/>
      <c r="D27" s="14"/>
      <c r="E27" s="14"/>
      <c r="F27" s="5">
        <v>43</v>
      </c>
      <c r="G27" s="96"/>
      <c r="H27" s="84"/>
      <c r="I27" s="5"/>
      <c r="J27" s="27"/>
      <c r="K27" s="16"/>
      <c r="N27" s="33"/>
      <c r="O27" s="43">
        <v>0.44</v>
      </c>
      <c r="P27" s="43"/>
      <c r="Q27" s="27"/>
      <c r="W27" s="16"/>
      <c r="AL27" s="33"/>
      <c r="AP27" s="17">
        <v>2.64</v>
      </c>
      <c r="AQ27" s="17">
        <v>7.5</v>
      </c>
      <c r="AR27" s="17">
        <f t="shared" si="6"/>
        <v>4.285714285714286</v>
      </c>
      <c r="BI27" s="17">
        <v>5</v>
      </c>
      <c r="BJ27" s="17">
        <v>18</v>
      </c>
    </row>
    <row r="28" spans="1:62" ht="12.75">
      <c r="A28" s="13" t="s">
        <v>302</v>
      </c>
      <c r="B28" s="23">
        <f aca="true" t="shared" si="12" ref="B28:B37">(AY28-AT28)/7</f>
        <v>1.7428571428571427</v>
      </c>
      <c r="C28" s="14" t="s">
        <v>310</v>
      </c>
      <c r="D28" s="5"/>
      <c r="E28" s="5"/>
      <c r="F28" s="5">
        <v>42.7</v>
      </c>
      <c r="G28" s="96"/>
      <c r="H28" s="84"/>
      <c r="I28" s="19">
        <f>F29/F28</f>
        <v>1.1311475409836065</v>
      </c>
      <c r="J28" s="5">
        <v>13.8</v>
      </c>
      <c r="L28" s="5">
        <v>43.2</v>
      </c>
      <c r="M28" s="5">
        <v>16.6</v>
      </c>
      <c r="N28" s="5">
        <v>5</v>
      </c>
      <c r="O28" s="5">
        <v>0.55</v>
      </c>
      <c r="P28" s="43">
        <v>22.5</v>
      </c>
      <c r="Q28" s="27">
        <f>N28*O28</f>
        <v>2.75</v>
      </c>
      <c r="T28" s="63">
        <f>(Q12+Q18+Q20+Q22+Q28+Q43+Q46+Q50+Q55+Q59+Q60+Q66+Q81+Q92+Q97+Q101+Q116+Q123+Q134)/19/2</f>
        <v>1.6249105263157895</v>
      </c>
      <c r="V28" s="39"/>
      <c r="W28" s="43"/>
      <c r="Z28" s="17">
        <v>29.5</v>
      </c>
      <c r="AA28" s="17">
        <f>Z28/F28</f>
        <v>0.6908665105386417</v>
      </c>
      <c r="AB28" s="17">
        <f>LN(Q28/2)/27</f>
        <v>0.0117945826340198</v>
      </c>
      <c r="AC28" s="17">
        <f>(LN(Q28/2))/AB28</f>
        <v>27</v>
      </c>
      <c r="AF28" s="47">
        <v>32931</v>
      </c>
      <c r="AG28" s="48">
        <v>227400</v>
      </c>
      <c r="AH28" s="49">
        <f>AF28/AG28</f>
        <v>0.14481530343007915</v>
      </c>
      <c r="AI28" s="55">
        <v>36</v>
      </c>
      <c r="AK28" s="45">
        <v>97</v>
      </c>
      <c r="AL28" s="39"/>
      <c r="AM28" s="17">
        <v>0.55</v>
      </c>
      <c r="AN28" s="17">
        <f>O28/AM28</f>
        <v>1</v>
      </c>
      <c r="AP28" s="17">
        <v>2.64</v>
      </c>
      <c r="AQ28" s="17">
        <v>6.5</v>
      </c>
      <c r="AR28" s="17">
        <f aca="true" t="shared" si="13" ref="AR28:AR33">AQ28/1.75</f>
        <v>3.7142857142857144</v>
      </c>
      <c r="AT28" s="27">
        <v>9.8</v>
      </c>
      <c r="AU28" s="20">
        <f aca="true" t="shared" si="14" ref="AU28:AU37">AT28/F28</f>
        <v>0.22950819672131148</v>
      </c>
      <c r="AV28" s="21">
        <f aca="true" t="shared" si="15" ref="AV28:AV33">(AT28-AQ28)/3</f>
        <v>1.1000000000000003</v>
      </c>
      <c r="AW28" s="17">
        <v>15.5</v>
      </c>
      <c r="AX28" s="17">
        <f aca="true" t="shared" si="16" ref="AX28:AX37">(AW28-AT28)/2</f>
        <v>2.8499999999999996</v>
      </c>
      <c r="AY28" s="17">
        <v>22</v>
      </c>
      <c r="AZ28" s="17">
        <f>AY28/F28</f>
        <v>0.5152224824355972</v>
      </c>
      <c r="BB28" s="17">
        <f t="shared" si="10"/>
        <v>1.3</v>
      </c>
      <c r="BC28" s="30">
        <f aca="true" t="shared" si="17" ref="BC28:BC37">B28/((AW28+AY28)/2)^0.75</f>
        <v>0.19342421216575756</v>
      </c>
      <c r="BD28" s="30">
        <f aca="true" t="shared" si="18" ref="BD28:BD37">LN(AY28/AT28)/7</f>
        <v>0.11552286681168422</v>
      </c>
      <c r="BE28" s="30">
        <f t="shared" si="3"/>
        <v>0.070040485886623</v>
      </c>
      <c r="BH28" s="20">
        <f>(N28-1)*(L28/12)</f>
        <v>14.4</v>
      </c>
      <c r="BJ28" s="17">
        <v>16</v>
      </c>
    </row>
    <row r="29" spans="1:62" ht="12.75">
      <c r="A29" s="13" t="s">
        <v>303</v>
      </c>
      <c r="B29" s="23">
        <f t="shared" si="12"/>
        <v>2.1714285714285713</v>
      </c>
      <c r="C29" s="31" t="s">
        <v>50</v>
      </c>
      <c r="D29" s="14"/>
      <c r="E29" s="14"/>
      <c r="F29" s="5">
        <v>48.3</v>
      </c>
      <c r="G29" s="96"/>
      <c r="H29" s="84"/>
      <c r="I29" s="5"/>
      <c r="J29" s="27"/>
      <c r="K29" s="16"/>
      <c r="L29" s="17"/>
      <c r="N29" s="5"/>
      <c r="O29" s="5">
        <v>0.55</v>
      </c>
      <c r="V29" s="39"/>
      <c r="W29" s="62"/>
      <c r="AL29" s="39"/>
      <c r="AQ29" s="17">
        <v>6.1</v>
      </c>
      <c r="AR29" s="17">
        <f t="shared" si="13"/>
        <v>3.4857142857142853</v>
      </c>
      <c r="AT29" s="27">
        <v>9.8</v>
      </c>
      <c r="AU29" s="20">
        <f t="shared" si="14"/>
        <v>0.2028985507246377</v>
      </c>
      <c r="AV29" s="21">
        <f t="shared" si="15"/>
        <v>1.2333333333333336</v>
      </c>
      <c r="AW29" s="17">
        <v>16</v>
      </c>
      <c r="AX29" s="17">
        <f t="shared" si="16"/>
        <v>3.0999999999999996</v>
      </c>
      <c r="AY29" s="17">
        <v>25</v>
      </c>
      <c r="BA29" s="17">
        <v>0.5175983436853002</v>
      </c>
      <c r="BB29" s="17">
        <f t="shared" si="10"/>
        <v>1.8</v>
      </c>
      <c r="BC29" s="30">
        <f t="shared" si="17"/>
        <v>0.22538766905608137</v>
      </c>
      <c r="BD29" s="30">
        <f t="shared" si="18"/>
        <v>0.13378477702738206</v>
      </c>
      <c r="BE29" s="30">
        <f t="shared" si="3"/>
        <v>0.0892574205256839</v>
      </c>
      <c r="BI29" s="17">
        <v>16</v>
      </c>
      <c r="BJ29" s="17">
        <v>18</v>
      </c>
    </row>
    <row r="30" spans="1:64" ht="12.75">
      <c r="A30" s="13" t="s">
        <v>39</v>
      </c>
      <c r="B30" s="23">
        <f t="shared" si="12"/>
        <v>1.6428571428571426</v>
      </c>
      <c r="C30" s="31" t="s">
        <v>50</v>
      </c>
      <c r="D30" s="14" t="s">
        <v>27</v>
      </c>
      <c r="E30" s="14" t="s">
        <v>29</v>
      </c>
      <c r="F30" s="27">
        <v>51</v>
      </c>
      <c r="G30" s="96">
        <f>9.353/F30</f>
        <v>0.1833921568627451</v>
      </c>
      <c r="H30" s="84">
        <v>103</v>
      </c>
      <c r="I30" s="19">
        <f>F31/F30</f>
        <v>1.2019607843137254</v>
      </c>
      <c r="J30" s="27">
        <v>13.9</v>
      </c>
      <c r="K30" s="27">
        <v>18.6</v>
      </c>
      <c r="L30" s="5">
        <f>2.8*12</f>
        <v>33.599999999999994</v>
      </c>
      <c r="M30" s="5">
        <v>43</v>
      </c>
      <c r="N30" s="5">
        <v>9</v>
      </c>
      <c r="O30" s="19">
        <v>0.76</v>
      </c>
      <c r="P30" s="5">
        <v>41.2</v>
      </c>
      <c r="Q30" s="27">
        <f>N30*(O30+O31)/2</f>
        <v>7.0200000000000005</v>
      </c>
      <c r="R30" s="33" t="s">
        <v>575</v>
      </c>
      <c r="S30" s="33">
        <f>2.093-1.795</f>
        <v>0.29800000000000004</v>
      </c>
      <c r="T30" s="33"/>
      <c r="U30" s="33"/>
      <c r="V30" s="17">
        <v>17</v>
      </c>
      <c r="W30" s="16">
        <v>52.2</v>
      </c>
      <c r="X30" s="33"/>
      <c r="Y30" s="33"/>
      <c r="Z30" s="17">
        <v>40.5</v>
      </c>
      <c r="AA30" s="17">
        <f>Z30/F30</f>
        <v>0.7941176470588235</v>
      </c>
      <c r="AB30" s="17">
        <f>LN(Q30/2)/((K30+BH30/2))</f>
        <v>0.04213476635831458</v>
      </c>
      <c r="AC30" s="17">
        <f>(LN(Q30/2))/AB30</f>
        <v>29.799999999999997</v>
      </c>
      <c r="AF30" s="33">
        <v>8000</v>
      </c>
      <c r="AG30" s="33">
        <f>1200000/100</f>
        <v>12000</v>
      </c>
      <c r="AH30" s="33">
        <f>AF30/AG30</f>
        <v>0.6666666666666666</v>
      </c>
      <c r="AI30" s="33">
        <f>L30-9</f>
        <v>24.599999999999994</v>
      </c>
      <c r="AJ30" s="33">
        <f>(K30-AI30/12)/P30</f>
        <v>0.4016990291262136</v>
      </c>
      <c r="AL30" s="17">
        <v>13.7</v>
      </c>
      <c r="AM30" s="17">
        <v>0.86</v>
      </c>
      <c r="AN30" s="17">
        <f>O30/AM30</f>
        <v>0.8837209302325582</v>
      </c>
      <c r="AO30" s="17">
        <f>O30/(1-AL30/100)</f>
        <v>0.880648899188876</v>
      </c>
      <c r="AQ30" s="17">
        <v>9</v>
      </c>
      <c r="AR30" s="17">
        <f t="shared" si="13"/>
        <v>5.142857142857143</v>
      </c>
      <c r="AT30" s="27">
        <v>12.4</v>
      </c>
      <c r="AU30" s="20">
        <f t="shared" si="14"/>
        <v>0.24313725490196078</v>
      </c>
      <c r="AV30" s="21">
        <f t="shared" si="15"/>
        <v>1.1333333333333335</v>
      </c>
      <c r="AW30" s="17">
        <v>15.3</v>
      </c>
      <c r="AX30" s="17">
        <f t="shared" si="16"/>
        <v>1.4500000000000002</v>
      </c>
      <c r="AY30" s="17">
        <v>23.9</v>
      </c>
      <c r="AZ30" s="17">
        <f>AY30/F30</f>
        <v>0.4686274509803921</v>
      </c>
      <c r="BB30" s="17">
        <f t="shared" si="10"/>
        <v>1.7199999999999995</v>
      </c>
      <c r="BC30" s="30">
        <f t="shared" si="17"/>
        <v>0.17636310927694773</v>
      </c>
      <c r="BD30" s="30">
        <f t="shared" si="18"/>
        <v>0.09374028376092482</v>
      </c>
      <c r="BE30" s="30">
        <f t="shared" si="3"/>
        <v>0.08920512610781502</v>
      </c>
      <c r="BH30" s="20">
        <f>(N30-1)*(L30/12)</f>
        <v>22.399999999999995</v>
      </c>
      <c r="BL30" s="21">
        <f>K30-J30</f>
        <v>4.700000000000001</v>
      </c>
    </row>
    <row r="31" spans="1:61" ht="12.75">
      <c r="A31" s="13" t="s">
        <v>40</v>
      </c>
      <c r="B31" s="23">
        <f t="shared" si="12"/>
        <v>1.9285714285714286</v>
      </c>
      <c r="C31" s="31" t="s">
        <v>27</v>
      </c>
      <c r="D31" s="14" t="s">
        <v>32</v>
      </c>
      <c r="E31" s="14" t="s">
        <v>51</v>
      </c>
      <c r="F31" s="27">
        <v>61.3</v>
      </c>
      <c r="G31" s="96">
        <f>6.763/F31</f>
        <v>0.11032626427406199</v>
      </c>
      <c r="H31" s="84">
        <v>103</v>
      </c>
      <c r="I31" s="19"/>
      <c r="J31" s="27"/>
      <c r="K31" s="27">
        <v>23</v>
      </c>
      <c r="N31" s="5"/>
      <c r="O31" s="19">
        <v>0.8</v>
      </c>
      <c r="Q31" s="27"/>
      <c r="S31" s="17">
        <f>1.968-1.744</f>
        <v>0.22399999999999998</v>
      </c>
      <c r="V31" s="17">
        <v>20</v>
      </c>
      <c r="W31" s="16">
        <v>62.7</v>
      </c>
      <c r="AQ31" s="17">
        <v>8.5</v>
      </c>
      <c r="AR31" s="17">
        <f t="shared" si="13"/>
        <v>4.857142857142857</v>
      </c>
      <c r="AT31" s="27">
        <v>12.5</v>
      </c>
      <c r="AU31" s="20">
        <f t="shared" si="14"/>
        <v>0.2039151712887439</v>
      </c>
      <c r="AV31" s="21">
        <f t="shared" si="15"/>
        <v>1.3333333333333333</v>
      </c>
      <c r="AW31" s="17">
        <v>16.5</v>
      </c>
      <c r="AX31" s="17">
        <f t="shared" si="16"/>
        <v>2</v>
      </c>
      <c r="AY31" s="17">
        <v>26</v>
      </c>
      <c r="BA31" s="17">
        <v>0.4241435562805873</v>
      </c>
      <c r="BB31" s="17">
        <f t="shared" si="10"/>
        <v>1.9</v>
      </c>
      <c r="BC31" s="30">
        <f t="shared" si="17"/>
        <v>0.19485723141881742</v>
      </c>
      <c r="BD31" s="30">
        <f t="shared" si="18"/>
        <v>0.10462398481617523</v>
      </c>
      <c r="BE31" s="30">
        <f t="shared" si="3"/>
        <v>0.09094723142298941</v>
      </c>
      <c r="BI31" s="17">
        <v>6</v>
      </c>
    </row>
    <row r="32" spans="1:65" ht="12.75">
      <c r="A32" s="13" t="s">
        <v>157</v>
      </c>
      <c r="B32" s="23">
        <f t="shared" si="12"/>
        <v>1.7142857142857142</v>
      </c>
      <c r="C32" s="5"/>
      <c r="D32" s="5"/>
      <c r="E32" s="5"/>
      <c r="F32" s="5">
        <v>45</v>
      </c>
      <c r="G32" s="96"/>
      <c r="H32" s="84"/>
      <c r="I32" s="19">
        <f>F33/F32</f>
        <v>1.2666666666666666</v>
      </c>
      <c r="J32" s="5">
        <v>14</v>
      </c>
      <c r="K32" s="5">
        <v>17</v>
      </c>
      <c r="L32" s="15"/>
      <c r="R32" s="17" t="s">
        <v>581</v>
      </c>
      <c r="Z32" s="17">
        <v>43.4</v>
      </c>
      <c r="AA32" s="17">
        <f>Z32/F32</f>
        <v>0.9644444444444444</v>
      </c>
      <c r="AF32" s="47">
        <v>1598</v>
      </c>
      <c r="AG32" s="48">
        <v>137800</v>
      </c>
      <c r="AH32" s="49">
        <v>0.011596516690856314</v>
      </c>
      <c r="AJ32" s="55"/>
      <c r="AP32" s="17">
        <v>2.3</v>
      </c>
      <c r="AQ32" s="17">
        <v>7.7</v>
      </c>
      <c r="AR32" s="17">
        <f t="shared" si="13"/>
        <v>4.4</v>
      </c>
      <c r="AT32" s="21">
        <v>13.8</v>
      </c>
      <c r="AU32" s="20">
        <f t="shared" si="14"/>
        <v>0.3066666666666667</v>
      </c>
      <c r="AV32" s="21">
        <f t="shared" si="15"/>
        <v>2.0333333333333337</v>
      </c>
      <c r="AW32" s="17">
        <v>18.2</v>
      </c>
      <c r="AX32" s="17">
        <f t="shared" si="16"/>
        <v>2.1999999999999993</v>
      </c>
      <c r="AY32" s="17">
        <v>25.8</v>
      </c>
      <c r="AZ32" s="17">
        <f>AY32/F32</f>
        <v>0.5733333333333334</v>
      </c>
      <c r="BB32" s="17">
        <f>(AY32-AW32)/5</f>
        <v>1.5200000000000002</v>
      </c>
      <c r="BC32" s="30">
        <f t="shared" si="17"/>
        <v>0.16875870940270077</v>
      </c>
      <c r="BD32" s="30">
        <f t="shared" si="18"/>
        <v>0.08938655710920182</v>
      </c>
      <c r="BE32" s="30">
        <f t="shared" si="3"/>
        <v>0.06979057956896442</v>
      </c>
      <c r="BJ32" s="17">
        <v>11</v>
      </c>
      <c r="BK32" s="17">
        <v>0.92</v>
      </c>
      <c r="BL32" s="21"/>
      <c r="BM32" s="17">
        <v>20</v>
      </c>
    </row>
    <row r="33" spans="1:62" ht="12.75">
      <c r="A33" s="13" t="s">
        <v>158</v>
      </c>
      <c r="B33" s="23">
        <f t="shared" si="12"/>
        <v>2.1</v>
      </c>
      <c r="F33" s="5">
        <v>57</v>
      </c>
      <c r="G33" s="96"/>
      <c r="H33" s="84"/>
      <c r="I33" s="5"/>
      <c r="J33" s="5"/>
      <c r="AP33" s="17">
        <v>3.1</v>
      </c>
      <c r="AQ33" s="17">
        <v>8.1</v>
      </c>
      <c r="AR33" s="17">
        <f t="shared" si="13"/>
        <v>4.628571428571428</v>
      </c>
      <c r="AT33" s="21">
        <v>14.6</v>
      </c>
      <c r="AU33" s="20">
        <f t="shared" si="14"/>
        <v>0.256140350877193</v>
      </c>
      <c r="AV33" s="21">
        <f t="shared" si="15"/>
        <v>2.1666666666666665</v>
      </c>
      <c r="AW33" s="17">
        <v>17</v>
      </c>
      <c r="AX33" s="17">
        <f t="shared" si="16"/>
        <v>1.2000000000000002</v>
      </c>
      <c r="AY33" s="17">
        <v>29.3</v>
      </c>
      <c r="BA33" s="17">
        <v>0.5140350877192983</v>
      </c>
      <c r="BB33" s="17">
        <f>(AY33-AW33)/5</f>
        <v>2.46</v>
      </c>
      <c r="BC33" s="30">
        <f t="shared" si="17"/>
        <v>0.19897845217066973</v>
      </c>
      <c r="BD33" s="30">
        <f t="shared" si="18"/>
        <v>0.09950942675839014</v>
      </c>
      <c r="BE33" s="30">
        <f t="shared" si="3"/>
        <v>0.10887483439336113</v>
      </c>
      <c r="BI33" s="17">
        <v>38</v>
      </c>
      <c r="BJ33" s="17">
        <v>24</v>
      </c>
    </row>
    <row r="34" spans="1:68" ht="12.75">
      <c r="A34" s="13" t="s">
        <v>139</v>
      </c>
      <c r="B34" s="23">
        <f t="shared" si="12"/>
        <v>1.5</v>
      </c>
      <c r="C34" s="31" t="s">
        <v>31</v>
      </c>
      <c r="D34" s="14"/>
      <c r="E34" s="14"/>
      <c r="F34" s="27">
        <v>45.4</v>
      </c>
      <c r="G34" s="96"/>
      <c r="H34" s="84"/>
      <c r="I34" s="19">
        <f>F35/F34</f>
        <v>1.145374449339207</v>
      </c>
      <c r="J34" s="16"/>
      <c r="K34" s="27">
        <v>18.4</v>
      </c>
      <c r="L34" s="5">
        <v>40</v>
      </c>
      <c r="M34" s="5" t="s">
        <v>641</v>
      </c>
      <c r="N34" s="5">
        <v>7.8</v>
      </c>
      <c r="O34" s="5">
        <v>0.48</v>
      </c>
      <c r="P34" s="24">
        <v>27</v>
      </c>
      <c r="Q34" s="27">
        <f>N34*(O34+O35)/2</f>
        <v>3.7439999999999998</v>
      </c>
      <c r="R34" s="17" t="s">
        <v>582</v>
      </c>
      <c r="S34" s="17">
        <f>1.195-0.796</f>
        <v>0.399</v>
      </c>
      <c r="V34" s="17">
        <v>16</v>
      </c>
      <c r="W34" s="17">
        <v>45.5</v>
      </c>
      <c r="X34" s="24"/>
      <c r="Y34" s="24"/>
      <c r="AB34" s="17">
        <f>LN(Q34/2)/((K34+BG34/2))</f>
        <v>0.022273796733761998</v>
      </c>
      <c r="AC34" s="17">
        <f>(LN(Q34/2))/AB34</f>
        <v>28.15</v>
      </c>
      <c r="AF34" s="33">
        <f>15193+11700</f>
        <v>26893</v>
      </c>
      <c r="AG34" s="33">
        <v>192000</v>
      </c>
      <c r="AH34" s="33">
        <f>AF34/AG34</f>
        <v>0.14006770833333335</v>
      </c>
      <c r="AI34" s="33">
        <v>33</v>
      </c>
      <c r="AJ34" s="33">
        <f>(K34-AI34/12)/P34</f>
        <v>0.5796296296296296</v>
      </c>
      <c r="AL34" s="17">
        <v>35</v>
      </c>
      <c r="AM34" s="17">
        <v>0.51</v>
      </c>
      <c r="AO34" s="17">
        <f>O34/(1-AL34/100)</f>
        <v>0.7384615384615384</v>
      </c>
      <c r="AT34" s="21">
        <v>12.5</v>
      </c>
      <c r="AU34" s="20">
        <f t="shared" si="14"/>
        <v>0.27533039647577096</v>
      </c>
      <c r="AW34" s="17">
        <v>17.8</v>
      </c>
      <c r="AX34" s="17">
        <f t="shared" si="16"/>
        <v>2.6500000000000004</v>
      </c>
      <c r="AY34" s="17">
        <v>23</v>
      </c>
      <c r="AZ34" s="17">
        <f>AY34/F34</f>
        <v>0.5066079295154186</v>
      </c>
      <c r="BB34" s="17">
        <f t="shared" si="10"/>
        <v>1.0399999999999998</v>
      </c>
      <c r="BC34" s="30">
        <f t="shared" si="17"/>
        <v>0.156267488921837</v>
      </c>
      <c r="BD34" s="30">
        <f t="shared" si="18"/>
        <v>0.08710936737441347</v>
      </c>
      <c r="BE34" s="30">
        <f t="shared" si="3"/>
        <v>0.05125915172622205</v>
      </c>
      <c r="BF34" s="17">
        <v>37.9</v>
      </c>
      <c r="BG34" s="21">
        <f>BF34-K34</f>
        <v>19.5</v>
      </c>
      <c r="BH34" s="20">
        <f>(N34-1)*(L34/12)</f>
        <v>22.666666666666668</v>
      </c>
      <c r="BP34" s="17">
        <f>(0.21+0.49)/2</f>
        <v>0.35</v>
      </c>
    </row>
    <row r="35" spans="1:61" ht="12.75">
      <c r="A35" s="13" t="s">
        <v>140</v>
      </c>
      <c r="B35" s="23">
        <f t="shared" si="12"/>
        <v>1.6142857142857143</v>
      </c>
      <c r="C35" s="31"/>
      <c r="D35" s="14"/>
      <c r="E35" s="14"/>
      <c r="F35" s="27">
        <v>52</v>
      </c>
      <c r="G35" s="96"/>
      <c r="H35" s="84"/>
      <c r="I35" s="19"/>
      <c r="J35" s="27"/>
      <c r="K35" s="27"/>
      <c r="N35" s="5"/>
      <c r="O35" s="19">
        <v>0.48</v>
      </c>
      <c r="Q35" s="27"/>
      <c r="S35" s="17">
        <f>1.556-1.275</f>
        <v>0.28100000000000014</v>
      </c>
      <c r="V35" s="17">
        <v>20</v>
      </c>
      <c r="W35" s="17">
        <v>52</v>
      </c>
      <c r="AL35" s="17">
        <v>38</v>
      </c>
      <c r="AM35" s="17">
        <v>0.47</v>
      </c>
      <c r="AO35" s="17">
        <f>O35/(1-AL35/100)</f>
        <v>0.7741935483870968</v>
      </c>
      <c r="AT35" s="21">
        <v>13.7</v>
      </c>
      <c r="AU35" s="20">
        <f t="shared" si="14"/>
        <v>0.26346153846153847</v>
      </c>
      <c r="AW35" s="17">
        <v>17.6</v>
      </c>
      <c r="AX35" s="17">
        <f t="shared" si="16"/>
        <v>1.950000000000001</v>
      </c>
      <c r="AY35" s="17">
        <v>25</v>
      </c>
      <c r="BA35" s="17">
        <v>0.4807692307692308</v>
      </c>
      <c r="BB35" s="17">
        <f t="shared" si="10"/>
        <v>1.4799999999999998</v>
      </c>
      <c r="BC35" s="30">
        <f t="shared" si="17"/>
        <v>0.16281548261570308</v>
      </c>
      <c r="BD35" s="30">
        <f t="shared" si="18"/>
        <v>0.08592571314773165</v>
      </c>
      <c r="BE35" s="30">
        <f t="shared" si="3"/>
        <v>0.07019538456481893</v>
      </c>
      <c r="BI35" s="17">
        <v>19</v>
      </c>
    </row>
    <row r="36" spans="1:57" ht="12.75">
      <c r="A36" s="13" t="s">
        <v>36</v>
      </c>
      <c r="B36" s="23">
        <f t="shared" si="12"/>
        <v>3.2714285714285714</v>
      </c>
      <c r="C36" s="36">
        <v>9.5</v>
      </c>
      <c r="D36" s="27">
        <v>12</v>
      </c>
      <c r="E36" s="5">
        <v>13.5</v>
      </c>
      <c r="F36" s="27">
        <v>65.6</v>
      </c>
      <c r="G36" s="96"/>
      <c r="H36" s="84"/>
      <c r="I36" s="19">
        <f>F37/F36</f>
        <v>1.2195121951219514</v>
      </c>
      <c r="J36" s="5">
        <v>12.8</v>
      </c>
      <c r="N36" s="5"/>
      <c r="O36" s="19"/>
      <c r="Q36" s="27"/>
      <c r="W36" s="16">
        <v>70.4</v>
      </c>
      <c r="Z36" s="17">
        <v>54.6</v>
      </c>
      <c r="AA36" s="17">
        <f>Z36/F36</f>
        <v>0.8323170731707318</v>
      </c>
      <c r="AQ36" s="17">
        <v>10.1</v>
      </c>
      <c r="AR36" s="17">
        <f>AQ36/1.75</f>
        <v>5.771428571428571</v>
      </c>
      <c r="AT36" s="27">
        <v>14.4</v>
      </c>
      <c r="AU36" s="20">
        <f t="shared" si="14"/>
        <v>0.21951219512195125</v>
      </c>
      <c r="AV36" s="21">
        <f>(AT36-AQ36)/3</f>
        <v>1.4333333333333336</v>
      </c>
      <c r="AW36" s="17">
        <v>19.5</v>
      </c>
      <c r="AX36" s="17">
        <f t="shared" si="16"/>
        <v>2.55</v>
      </c>
      <c r="AY36" s="17">
        <v>37.3</v>
      </c>
      <c r="BB36" s="17">
        <f t="shared" si="10"/>
        <v>3.5599999999999996</v>
      </c>
      <c r="BC36" s="30">
        <f t="shared" si="17"/>
        <v>0.26591858263543583</v>
      </c>
      <c r="BD36" s="30">
        <f t="shared" si="18"/>
        <v>0.13596644572397357</v>
      </c>
      <c r="BE36" s="30">
        <f t="shared" si="3"/>
        <v>0.12971577221601374</v>
      </c>
    </row>
    <row r="37" spans="1:57" ht="12.75">
      <c r="A37" s="13" t="s">
        <v>37</v>
      </c>
      <c r="B37" s="23">
        <f t="shared" si="12"/>
        <v>3.2285714285714286</v>
      </c>
      <c r="C37" s="36">
        <v>10</v>
      </c>
      <c r="D37" s="27">
        <v>13</v>
      </c>
      <c r="E37" s="27">
        <v>15</v>
      </c>
      <c r="F37" s="27">
        <v>80</v>
      </c>
      <c r="G37" s="96"/>
      <c r="H37" s="84"/>
      <c r="I37" s="19"/>
      <c r="J37" s="5"/>
      <c r="N37" s="5"/>
      <c r="W37" s="16">
        <v>79.3</v>
      </c>
      <c r="AQ37" s="17">
        <v>10.4</v>
      </c>
      <c r="AR37" s="17">
        <f>AQ37/1.75</f>
        <v>5.942857142857143</v>
      </c>
      <c r="AT37" s="27">
        <v>15.1</v>
      </c>
      <c r="AU37" s="20">
        <f t="shared" si="14"/>
        <v>0.18875</v>
      </c>
      <c r="AV37" s="21">
        <f>(AT37-AQ37)/3</f>
        <v>1.5666666666666664</v>
      </c>
      <c r="AW37" s="17">
        <v>20.1</v>
      </c>
      <c r="AX37" s="17">
        <f t="shared" si="16"/>
        <v>2.500000000000001</v>
      </c>
      <c r="AY37" s="17">
        <v>37.7</v>
      </c>
      <c r="BB37" s="17">
        <f t="shared" si="10"/>
        <v>3.5200000000000005</v>
      </c>
      <c r="BC37" s="30">
        <f t="shared" si="17"/>
        <v>0.25902221749805926</v>
      </c>
      <c r="BD37" s="30">
        <f t="shared" si="18"/>
        <v>0.13070933580472663</v>
      </c>
      <c r="BE37" s="30">
        <f t="shared" si="3"/>
        <v>0.12578805587778702</v>
      </c>
    </row>
    <row r="38" spans="1:60" ht="12.75">
      <c r="A38" s="13" t="s">
        <v>373</v>
      </c>
      <c r="C38" s="14"/>
      <c r="D38" s="5"/>
      <c r="E38" s="5"/>
      <c r="F38" s="27" t="s">
        <v>598</v>
      </c>
      <c r="G38" s="96"/>
      <c r="H38" s="84"/>
      <c r="I38" s="19" t="s">
        <v>600</v>
      </c>
      <c r="J38" s="5">
        <v>11</v>
      </c>
      <c r="K38" s="5">
        <v>13</v>
      </c>
      <c r="L38" s="5">
        <v>66.9</v>
      </c>
      <c r="M38" s="5">
        <v>14.6</v>
      </c>
      <c r="N38" s="27">
        <f>(5.39+4.23+4.56+5.29)/4</f>
        <v>4.8675</v>
      </c>
      <c r="O38" s="5">
        <v>0.41</v>
      </c>
      <c r="P38" s="5">
        <v>15.4</v>
      </c>
      <c r="Q38" s="27">
        <f>N38*(O38+O39)/2</f>
        <v>1.6549499999999997</v>
      </c>
      <c r="AB38" s="17">
        <f>LN(Q38/2)/21.5</f>
        <v>-0.008808203891518967</v>
      </c>
      <c r="AC38" s="17">
        <f>(LN(Q38/2))/AB38</f>
        <v>21.5</v>
      </c>
      <c r="AD38" s="17">
        <f>LN((BH38/L38*12+1)/2*(O38+O39)/2)/AC38</f>
        <v>-0.008808203891518967</v>
      </c>
      <c r="AF38" s="17">
        <v>78</v>
      </c>
      <c r="AG38" s="17">
        <v>25</v>
      </c>
      <c r="AH38" s="17">
        <f>AF38/AG38</f>
        <v>3.12</v>
      </c>
      <c r="AI38" s="33">
        <f>12*4.8</f>
        <v>57.599999999999994</v>
      </c>
      <c r="AJ38" s="33">
        <f>(K38-AI38/12)/P38</f>
        <v>0.5324675324675324</v>
      </c>
      <c r="AM38" s="17">
        <v>0.6</v>
      </c>
      <c r="AN38" s="17">
        <f>O38/AM38</f>
        <v>0.6833333333333333</v>
      </c>
      <c r="AO38" s="17">
        <f>O38/(1-AL38/100)</f>
        <v>0.41</v>
      </c>
      <c r="AW38" s="17">
        <v>10</v>
      </c>
      <c r="AY38" s="17">
        <v>21</v>
      </c>
      <c r="BB38" s="17">
        <f>(AY38-AW38)/5</f>
        <v>2.2</v>
      </c>
      <c r="BE38" s="30">
        <f>LN(AY38/AW38)/5</f>
        <v>0.14838746894587546</v>
      </c>
      <c r="BF38" s="17">
        <v>27.7</v>
      </c>
      <c r="BG38" s="21"/>
      <c r="BH38" s="20">
        <f>(N38-1)*(L38/12)</f>
        <v>21.5613125</v>
      </c>
    </row>
    <row r="39" spans="1:57" ht="12.75">
      <c r="A39" s="13" t="s">
        <v>374</v>
      </c>
      <c r="C39" s="14"/>
      <c r="D39" s="5"/>
      <c r="E39" s="5"/>
      <c r="F39" s="27" t="s">
        <v>599</v>
      </c>
      <c r="G39" s="96"/>
      <c r="H39" s="84"/>
      <c r="J39" s="5"/>
      <c r="N39" s="5"/>
      <c r="O39" s="5">
        <v>0.27</v>
      </c>
      <c r="AM39" s="17">
        <v>0.52</v>
      </c>
      <c r="AN39" s="17">
        <f>O39/AM39</f>
        <v>0.5192307692307693</v>
      </c>
      <c r="AO39" s="17">
        <f>O39/(1-AL39/100)</f>
        <v>0.27</v>
      </c>
      <c r="AW39" s="17">
        <v>10</v>
      </c>
      <c r="AY39" s="17">
        <v>24</v>
      </c>
      <c r="BB39" s="17">
        <f t="shared" si="10"/>
        <v>2.8</v>
      </c>
      <c r="BE39" s="30">
        <f>LN(AY39/AW39)/5</f>
        <v>0.17509374747077996</v>
      </c>
    </row>
    <row r="40" spans="1:48" ht="12.75">
      <c r="A40" s="13"/>
      <c r="C40" s="14"/>
      <c r="D40" s="5"/>
      <c r="E40" s="5"/>
      <c r="F40" s="27"/>
      <c r="G40" s="96"/>
      <c r="H40" s="84"/>
      <c r="J40" s="5"/>
      <c r="N40" s="5"/>
      <c r="W40" s="5"/>
      <c r="AT40" s="27"/>
      <c r="AU40" s="19"/>
      <c r="AV40" s="27"/>
    </row>
    <row r="41" spans="1:68" ht="12.75">
      <c r="A41" s="13" t="s">
        <v>355</v>
      </c>
      <c r="F41" s="17">
        <v>49.6</v>
      </c>
      <c r="I41" s="20">
        <f>F42/F41</f>
        <v>1.1008064516129032</v>
      </c>
      <c r="M41" s="5">
        <v>40</v>
      </c>
      <c r="N41" s="5">
        <v>4</v>
      </c>
      <c r="O41" s="5">
        <v>0.72</v>
      </c>
      <c r="Q41" s="21">
        <f>N41*O41</f>
        <v>2.88</v>
      </c>
      <c r="R41" s="17" t="s">
        <v>435</v>
      </c>
      <c r="AF41" s="51">
        <v>4530</v>
      </c>
      <c r="AG41" s="52">
        <v>90600</v>
      </c>
      <c r="AH41" s="49">
        <v>0.05</v>
      </c>
      <c r="AI41" s="55"/>
      <c r="BJ41" s="17">
        <v>8</v>
      </c>
      <c r="BP41" s="17">
        <v>0.3</v>
      </c>
    </row>
    <row r="42" spans="1:62" ht="12.75">
      <c r="A42" s="13" t="s">
        <v>356</v>
      </c>
      <c r="F42" s="17">
        <v>54.6</v>
      </c>
      <c r="N42" s="5"/>
      <c r="BI42" s="17">
        <v>12</v>
      </c>
      <c r="BJ42" s="17">
        <v>15</v>
      </c>
    </row>
    <row r="43" spans="1:64" ht="12.75">
      <c r="A43" s="13" t="s">
        <v>188</v>
      </c>
      <c r="F43" s="17">
        <v>51.8</v>
      </c>
      <c r="I43" s="20">
        <f>F44/F43</f>
        <v>1.1505791505791507</v>
      </c>
      <c r="J43" s="17">
        <v>15.3</v>
      </c>
      <c r="K43" s="5">
        <v>19.5</v>
      </c>
      <c r="L43" s="5">
        <v>37.6</v>
      </c>
      <c r="M43" s="5">
        <v>37.1</v>
      </c>
      <c r="N43" s="5">
        <v>8</v>
      </c>
      <c r="O43" s="5">
        <v>0.61</v>
      </c>
      <c r="P43" s="5">
        <v>43.3</v>
      </c>
      <c r="Q43" s="27">
        <f>N43*(O43+O44)/2</f>
        <v>5.279999999999999</v>
      </c>
      <c r="X43" s="5"/>
      <c r="Y43" s="5"/>
      <c r="AB43" s="17">
        <f>LN(Q43/2)/((K43+BG43/2))</f>
        <v>0.03151879601163067</v>
      </c>
      <c r="AC43" s="17">
        <f>(LN(Q43/2))/AB43</f>
        <v>30.8</v>
      </c>
      <c r="AE43" s="80">
        <v>0.025</v>
      </c>
      <c r="AF43" s="17">
        <v>550</v>
      </c>
      <c r="AG43" s="17">
        <v>22000</v>
      </c>
      <c r="AH43" s="17">
        <f>AF43/AG43</f>
        <v>0.025</v>
      </c>
      <c r="AM43" s="5">
        <v>0.73</v>
      </c>
      <c r="AN43" s="17">
        <f>O43/AM43</f>
        <v>0.8356164383561644</v>
      </c>
      <c r="AO43" s="17">
        <f>O43/(1-AL43/100)</f>
        <v>0.61</v>
      </c>
      <c r="AP43" s="5"/>
      <c r="AQ43" s="5"/>
      <c r="AR43" s="5"/>
      <c r="AW43" s="17">
        <v>15.7</v>
      </c>
      <c r="AY43" s="17">
        <v>25.9</v>
      </c>
      <c r="BB43" s="17">
        <f>(AY43-AW43)/5</f>
        <v>2.04</v>
      </c>
      <c r="BE43" s="30">
        <f t="shared" si="3"/>
        <v>0.10011645127024596</v>
      </c>
      <c r="BF43" s="17">
        <v>42.1</v>
      </c>
      <c r="BG43" s="21">
        <f>BF43-K43</f>
        <v>22.6</v>
      </c>
      <c r="BH43" s="20">
        <f>(N43-1)*(L43/12)</f>
        <v>21.933333333333334</v>
      </c>
      <c r="BJ43" s="17">
        <v>15.2</v>
      </c>
      <c r="BK43" s="17">
        <v>1.22</v>
      </c>
      <c r="BL43" s="21">
        <f>K43-J43</f>
        <v>4.199999999999999</v>
      </c>
    </row>
    <row r="44" spans="1:62" ht="12.75">
      <c r="A44" s="13" t="s">
        <v>189</v>
      </c>
      <c r="F44" s="17">
        <v>59.6</v>
      </c>
      <c r="K44" s="5">
        <v>24</v>
      </c>
      <c r="M44" s="5">
        <v>37.8</v>
      </c>
      <c r="N44" s="5"/>
      <c r="O44" s="5">
        <v>0.71</v>
      </c>
      <c r="P44" s="5">
        <v>36.8</v>
      </c>
      <c r="AM44" s="17">
        <v>0.81</v>
      </c>
      <c r="AN44" s="17">
        <f>O44/AM44</f>
        <v>0.8765432098765431</v>
      </c>
      <c r="AO44" s="17">
        <f>O44/(1-AL44/100)</f>
        <v>0.71</v>
      </c>
      <c r="AW44" s="17">
        <v>15.5</v>
      </c>
      <c r="AY44" s="17">
        <v>27</v>
      </c>
      <c r="BB44" s="17">
        <f>(AY44-AW44)/5</f>
        <v>2.3</v>
      </c>
      <c r="BE44" s="30">
        <f t="shared" si="3"/>
        <v>0.11099936841582562</v>
      </c>
      <c r="BI44" s="17">
        <v>4.1</v>
      </c>
      <c r="BJ44" s="17">
        <v>20.2</v>
      </c>
    </row>
    <row r="45" spans="1:62" ht="12.75">
      <c r="A45" s="13" t="s">
        <v>417</v>
      </c>
      <c r="F45" s="17">
        <v>36.7</v>
      </c>
      <c r="J45" s="17">
        <v>17.2</v>
      </c>
      <c r="K45" s="5">
        <v>20.1</v>
      </c>
      <c r="L45" s="5">
        <f>2.9*12</f>
        <v>34.8</v>
      </c>
      <c r="N45" s="46">
        <v>6.5</v>
      </c>
      <c r="BF45" s="17">
        <v>43.9</v>
      </c>
      <c r="BG45" s="21">
        <f>BF45-K45</f>
        <v>23.799999999999997</v>
      </c>
      <c r="BH45" s="20">
        <f>(N45-1)*(L45/12)</f>
        <v>15.95</v>
      </c>
      <c r="BI45" s="17">
        <v>0</v>
      </c>
      <c r="BJ45" s="17">
        <v>15</v>
      </c>
    </row>
    <row r="46" spans="1:64" ht="12.75">
      <c r="A46" s="13" t="s">
        <v>194</v>
      </c>
      <c r="F46" s="27">
        <v>38</v>
      </c>
      <c r="G46" s="96"/>
      <c r="H46" s="84"/>
      <c r="I46" s="20">
        <f>F47/F46</f>
        <v>1.1842105263157894</v>
      </c>
      <c r="J46" s="17">
        <v>17.1</v>
      </c>
      <c r="K46" s="5">
        <v>20.4</v>
      </c>
      <c r="L46" s="5">
        <v>33</v>
      </c>
      <c r="M46" s="5">
        <v>24.3</v>
      </c>
      <c r="N46" s="5">
        <v>7</v>
      </c>
      <c r="O46" s="5">
        <v>0.51</v>
      </c>
      <c r="P46" s="5">
        <v>30.6</v>
      </c>
      <c r="Q46" s="27">
        <f>N46*O46</f>
        <v>3.5700000000000003</v>
      </c>
      <c r="AB46" s="17">
        <f>LN(Q46/2)/((K46+BG46/2))</f>
        <v>0.017883284420728472</v>
      </c>
      <c r="AC46" s="17">
        <f>(LN(Q46/2))/AB46</f>
        <v>32.4</v>
      </c>
      <c r="AF46" s="47">
        <v>609</v>
      </c>
      <c r="AG46" s="48">
        <v>700</v>
      </c>
      <c r="AH46" s="49">
        <v>0.87</v>
      </c>
      <c r="AI46" s="55"/>
      <c r="AJ46" s="55"/>
      <c r="AL46" s="17">
        <v>17</v>
      </c>
      <c r="AM46" s="39"/>
      <c r="AO46" s="17">
        <f>O46/(1-AL46/100)</f>
        <v>0.6144578313253013</v>
      </c>
      <c r="BF46" s="17">
        <v>43</v>
      </c>
      <c r="BG46" s="17">
        <v>24</v>
      </c>
      <c r="BH46" s="20">
        <f>(N46-1)*(L46/12)</f>
        <v>16.5</v>
      </c>
      <c r="BJ46" s="17">
        <v>18.4</v>
      </c>
      <c r="BL46" s="21">
        <f>K46-J46</f>
        <v>3.299999999999997</v>
      </c>
    </row>
    <row r="47" spans="1:62" ht="12.75">
      <c r="A47" s="13" t="s">
        <v>195</v>
      </c>
      <c r="F47" s="27">
        <v>45</v>
      </c>
      <c r="G47" s="96"/>
      <c r="H47" s="84"/>
      <c r="BI47" s="17">
        <v>5</v>
      </c>
      <c r="BJ47" s="17">
        <v>21.7</v>
      </c>
    </row>
    <row r="48" spans="1:41" ht="12.75">
      <c r="A48" s="13" t="s">
        <v>196</v>
      </c>
      <c r="M48" s="5">
        <v>29.2</v>
      </c>
      <c r="N48" s="5">
        <v>6.5</v>
      </c>
      <c r="O48" s="5">
        <v>0.54</v>
      </c>
      <c r="Q48" s="27">
        <f>N48*O48</f>
        <v>3.5100000000000002</v>
      </c>
      <c r="AF48" s="47"/>
      <c r="AG48" s="48"/>
      <c r="AH48" s="49"/>
      <c r="AI48" s="55"/>
      <c r="AJ48" s="55"/>
      <c r="AL48" s="17">
        <v>24</v>
      </c>
      <c r="AO48" s="17">
        <f>O48/(1-AL48/100)</f>
        <v>0.7105263157894737</v>
      </c>
    </row>
    <row r="49" spans="1:14" ht="12.75">
      <c r="A49" s="13" t="s">
        <v>197</v>
      </c>
      <c r="N49" s="5"/>
    </row>
    <row r="50" spans="1:60" ht="12.75">
      <c r="A50" s="13" t="s">
        <v>274</v>
      </c>
      <c r="F50" s="5">
        <v>42</v>
      </c>
      <c r="G50" s="96"/>
      <c r="H50" s="84"/>
      <c r="I50" s="20">
        <f>F51/F50</f>
        <v>1.1428571428571428</v>
      </c>
      <c r="L50" s="5">
        <v>43.2</v>
      </c>
      <c r="N50" s="5">
        <v>6.2</v>
      </c>
      <c r="O50" s="5">
        <v>0.55</v>
      </c>
      <c r="Q50" s="21">
        <f>N50*O50</f>
        <v>3.4100000000000006</v>
      </c>
      <c r="R50" s="17" t="s">
        <v>366</v>
      </c>
      <c r="AB50" s="17">
        <f>LN(Q50/2)/((20+BH50/2))</f>
        <v>0.01817319859453271</v>
      </c>
      <c r="AC50" s="17">
        <f>(LN(Q50/2))/AB50</f>
        <v>29.359999999999996</v>
      </c>
      <c r="AF50" s="47">
        <v>1088</v>
      </c>
      <c r="AG50" s="48">
        <v>12000</v>
      </c>
      <c r="AH50" s="49">
        <v>0.09066666666666667</v>
      </c>
      <c r="AI50" s="55"/>
      <c r="AJ50" s="55"/>
      <c r="AL50" s="17">
        <v>20</v>
      </c>
      <c r="AO50" s="17">
        <f>O50/(1-AL50/100)</f>
        <v>0.6875</v>
      </c>
      <c r="AP50" s="17">
        <v>2.8</v>
      </c>
      <c r="AQ50" s="17">
        <v>7.5</v>
      </c>
      <c r="AR50" s="17">
        <f>AQ50/1.75</f>
        <v>4.285714285714286</v>
      </c>
      <c r="BF50" s="17">
        <v>37.5</v>
      </c>
      <c r="BG50" s="21"/>
      <c r="BH50" s="20">
        <f>(N50-1)*(L50/12)</f>
        <v>18.720000000000002</v>
      </c>
    </row>
    <row r="51" spans="1:14" ht="12.75">
      <c r="A51" s="13" t="s">
        <v>275</v>
      </c>
      <c r="F51" s="5">
        <v>48</v>
      </c>
      <c r="G51" s="96"/>
      <c r="H51" s="84"/>
      <c r="N51" s="5"/>
    </row>
    <row r="52" spans="1:63" ht="12.75">
      <c r="A52" s="13" t="s">
        <v>156</v>
      </c>
      <c r="N52" s="17">
        <v>5.3</v>
      </c>
      <c r="BI52" s="17">
        <v>47.2</v>
      </c>
      <c r="BK52" s="17">
        <v>1.86</v>
      </c>
    </row>
    <row r="53" spans="1:42" ht="12.75">
      <c r="A53" s="13" t="s">
        <v>345</v>
      </c>
      <c r="F53" s="5">
        <v>46.5</v>
      </c>
      <c r="G53" s="96"/>
      <c r="H53" s="84"/>
      <c r="N53" s="5">
        <v>6.1</v>
      </c>
      <c r="AP53" s="17">
        <v>2.64</v>
      </c>
    </row>
    <row r="54" spans="1:14" ht="12.75">
      <c r="A54" s="13" t="s">
        <v>349</v>
      </c>
      <c r="N54" s="5"/>
    </row>
    <row r="55" spans="1:63" ht="12.75">
      <c r="A55" s="13" t="s">
        <v>236</v>
      </c>
      <c r="F55" s="5">
        <v>59.5</v>
      </c>
      <c r="G55" s="96"/>
      <c r="H55" s="84"/>
      <c r="I55" s="20"/>
      <c r="N55" s="17">
        <v>6.2</v>
      </c>
      <c r="O55" s="5">
        <v>0.456</v>
      </c>
      <c r="Q55" s="21">
        <f>N55*O55</f>
        <v>2.8272000000000004</v>
      </c>
      <c r="AF55" s="33">
        <v>771</v>
      </c>
      <c r="AG55" s="39"/>
      <c r="AH55" s="39"/>
      <c r="BK55" s="17">
        <v>0.89</v>
      </c>
    </row>
    <row r="56" spans="1:61" ht="12.75">
      <c r="A56" s="13" t="s">
        <v>237</v>
      </c>
      <c r="F56" s="17">
        <v>65.6</v>
      </c>
      <c r="BI56" s="17">
        <v>0</v>
      </c>
    </row>
    <row r="57" spans="1:38" ht="12.75">
      <c r="A57" s="13" t="s">
        <v>388</v>
      </c>
      <c r="N57" s="46">
        <v>7.6</v>
      </c>
      <c r="AL57" s="17">
        <v>23.8</v>
      </c>
    </row>
    <row r="58" spans="1:41" ht="12.75">
      <c r="A58" s="13" t="s">
        <v>389</v>
      </c>
      <c r="N58" s="46">
        <v>8.4</v>
      </c>
      <c r="O58" s="5">
        <v>0.79</v>
      </c>
      <c r="AF58" s="39"/>
      <c r="AG58" s="39"/>
      <c r="AH58" s="39"/>
      <c r="AL58" s="17">
        <v>11</v>
      </c>
      <c r="AO58" s="17">
        <f>O58/(1-AL58/100)</f>
        <v>0.8876404494382023</v>
      </c>
    </row>
    <row r="59" spans="1:68" ht="12.75">
      <c r="A59" s="13" t="s">
        <v>689</v>
      </c>
      <c r="N59" s="5">
        <v>5.2</v>
      </c>
      <c r="O59" s="5">
        <v>0.48</v>
      </c>
      <c r="Q59" s="21">
        <f>N59*O59</f>
        <v>2.496</v>
      </c>
      <c r="AF59" s="33">
        <v>200</v>
      </c>
      <c r="AG59" s="33">
        <v>1870</v>
      </c>
      <c r="AH59" s="33">
        <f>AF59/AG59</f>
        <v>0.10695187165775401</v>
      </c>
      <c r="BI59" s="17">
        <v>5</v>
      </c>
      <c r="BJ59" s="17">
        <v>19.9</v>
      </c>
      <c r="BP59" s="17">
        <v>0.2</v>
      </c>
    </row>
    <row r="60" spans="1:59" ht="12.75">
      <c r="A60" s="13" t="s">
        <v>408</v>
      </c>
      <c r="F60" s="5">
        <v>50</v>
      </c>
      <c r="G60" s="96"/>
      <c r="H60" s="84"/>
      <c r="I60" s="20">
        <f>F61/F60</f>
        <v>1.1</v>
      </c>
      <c r="K60" s="5">
        <v>18.5</v>
      </c>
      <c r="M60" s="5">
        <v>24.8</v>
      </c>
      <c r="N60" s="5">
        <v>6.9</v>
      </c>
      <c r="O60" s="5">
        <v>0.5</v>
      </c>
      <c r="P60" s="5">
        <v>27</v>
      </c>
      <c r="Q60" s="21">
        <f>N60*O60</f>
        <v>3.45</v>
      </c>
      <c r="AB60" s="17">
        <f>LN(Q60/2)/((K60+BG60/2))</f>
        <v>0.01615487556987624</v>
      </c>
      <c r="AC60" s="17">
        <f>(LN(Q60/2))/AB60</f>
        <v>33.75</v>
      </c>
      <c r="AF60" s="33">
        <v>45000</v>
      </c>
      <c r="AG60" s="33">
        <v>25000</v>
      </c>
      <c r="AH60" s="33">
        <f>AF60/AG60</f>
        <v>1.8</v>
      </c>
      <c r="AL60" s="17">
        <v>30</v>
      </c>
      <c r="AO60" s="17">
        <f>O60/(1-AL60/100)</f>
        <v>0.7142857142857143</v>
      </c>
      <c r="BF60" s="17">
        <v>49</v>
      </c>
      <c r="BG60" s="21">
        <f>BF60-K60</f>
        <v>30.5</v>
      </c>
    </row>
    <row r="61" spans="1:59" ht="12.75">
      <c r="A61" s="13" t="s">
        <v>409</v>
      </c>
      <c r="F61" s="5">
        <v>55</v>
      </c>
      <c r="G61" s="96"/>
      <c r="H61" s="84"/>
      <c r="N61" s="5"/>
      <c r="BG61" s="21"/>
    </row>
    <row r="62" spans="1:64" ht="12.75">
      <c r="A62" s="13" t="s">
        <v>371</v>
      </c>
      <c r="B62" s="23"/>
      <c r="C62" s="36">
        <v>3.5</v>
      </c>
      <c r="D62" s="27">
        <v>6.5</v>
      </c>
      <c r="E62" s="27">
        <v>9</v>
      </c>
      <c r="F62" s="16">
        <v>34.4</v>
      </c>
      <c r="G62" s="96"/>
      <c r="H62" s="84"/>
      <c r="I62" s="20"/>
      <c r="J62" s="5">
        <v>8.2</v>
      </c>
      <c r="K62" s="5">
        <v>10.8</v>
      </c>
      <c r="L62" s="5">
        <f>12*5.1</f>
        <v>61.199999999999996</v>
      </c>
      <c r="N62" s="5"/>
      <c r="W62" s="17">
        <v>34.4</v>
      </c>
      <c r="AW62" s="17">
        <v>13.8</v>
      </c>
      <c r="AY62" s="17">
        <v>31.4</v>
      </c>
      <c r="BB62" s="17">
        <f>(AY62-AW62)/5</f>
        <v>3.5199999999999996</v>
      </c>
      <c r="BE62" s="30">
        <f t="shared" si="3"/>
        <v>0.16442786015020971</v>
      </c>
      <c r="BL62" s="21">
        <f>K62-J62</f>
        <v>2.6000000000000014</v>
      </c>
    </row>
    <row r="63" spans="1:64" ht="12.75">
      <c r="A63" s="13" t="s">
        <v>372</v>
      </c>
      <c r="B63" s="23"/>
      <c r="C63" s="36">
        <v>3</v>
      </c>
      <c r="D63" s="27">
        <v>7</v>
      </c>
      <c r="E63" s="27">
        <v>10</v>
      </c>
      <c r="F63" s="16">
        <v>47</v>
      </c>
      <c r="G63" s="96"/>
      <c r="H63" s="84"/>
      <c r="I63" s="20"/>
      <c r="J63" s="5"/>
      <c r="N63" s="5"/>
      <c r="W63" s="17">
        <v>47</v>
      </c>
      <c r="AW63" s="17">
        <v>15.1</v>
      </c>
      <c r="AY63" s="17">
        <v>40</v>
      </c>
      <c r="BB63" s="17">
        <f>(AY63-AW63)/5</f>
        <v>4.9799999999999995</v>
      </c>
      <c r="BE63" s="30">
        <f t="shared" si="3"/>
        <v>0.19483694205861155</v>
      </c>
      <c r="BL63" s="21"/>
    </row>
    <row r="64" spans="1:14" ht="12.75">
      <c r="A64" s="13" t="s">
        <v>208</v>
      </c>
      <c r="C64" s="14"/>
      <c r="D64" s="5"/>
      <c r="E64" s="5"/>
      <c r="F64" s="5"/>
      <c r="G64" s="96"/>
      <c r="H64" s="84"/>
      <c r="J64" s="5"/>
      <c r="K64" s="5">
        <v>14.2</v>
      </c>
      <c r="L64" s="5">
        <f>4.8*12</f>
        <v>57.599999999999994</v>
      </c>
      <c r="N64" s="5"/>
    </row>
    <row r="65" spans="1:14" ht="12.75">
      <c r="A65" s="13" t="s">
        <v>390</v>
      </c>
      <c r="N65" s="46">
        <v>6.1</v>
      </c>
    </row>
    <row r="66" spans="1:65" ht="12.75">
      <c r="A66" s="13" t="s">
        <v>692</v>
      </c>
      <c r="B66" s="23"/>
      <c r="C66" s="36"/>
      <c r="D66" s="27"/>
      <c r="E66" s="27"/>
      <c r="F66" s="16"/>
      <c r="G66" s="96"/>
      <c r="H66" s="84"/>
      <c r="I66" s="20"/>
      <c r="J66" s="5"/>
      <c r="N66" s="5">
        <v>5.8</v>
      </c>
      <c r="O66" s="5">
        <v>0.51</v>
      </c>
      <c r="Q66" s="27">
        <f>N66*O66</f>
        <v>2.9579999999999997</v>
      </c>
      <c r="AF66" s="47">
        <v>426</v>
      </c>
      <c r="AG66" s="48">
        <v>340</v>
      </c>
      <c r="AH66" s="49">
        <v>1.2529411764705882</v>
      </c>
      <c r="AI66" s="55"/>
      <c r="AJ66" s="55"/>
      <c r="BI66" s="17">
        <v>3</v>
      </c>
      <c r="BJ66" s="17">
        <v>16</v>
      </c>
      <c r="BL66" s="21"/>
      <c r="BM66" s="17">
        <v>16</v>
      </c>
    </row>
    <row r="67" spans="1:57" ht="12.75">
      <c r="A67" s="13" t="s">
        <v>367</v>
      </c>
      <c r="C67" s="14" t="s">
        <v>336</v>
      </c>
      <c r="D67" s="5">
        <v>7.5</v>
      </c>
      <c r="E67" s="5">
        <v>9</v>
      </c>
      <c r="F67" s="5">
        <v>46</v>
      </c>
      <c r="G67" s="96"/>
      <c r="H67" s="84"/>
      <c r="I67" s="20">
        <f>F68/F67</f>
        <v>1.2391304347826086</v>
      </c>
      <c r="J67" s="5"/>
      <c r="K67" s="5">
        <v>11.2</v>
      </c>
      <c r="L67" s="5">
        <f>4.2*12</f>
        <v>50.400000000000006</v>
      </c>
      <c r="N67" s="5"/>
      <c r="W67" s="5">
        <v>46</v>
      </c>
      <c r="AC67" s="17">
        <v>22.7</v>
      </c>
      <c r="AT67" s="27"/>
      <c r="AU67" s="19"/>
      <c r="AV67" s="27"/>
      <c r="AW67" s="17">
        <v>16.5</v>
      </c>
      <c r="AY67" s="17">
        <v>36.6</v>
      </c>
      <c r="BB67" s="17">
        <f>(AY67-AW67)/5</f>
        <v>4.0200000000000005</v>
      </c>
      <c r="BE67" s="30">
        <f t="shared" si="3"/>
        <v>0.15933757190015713</v>
      </c>
    </row>
    <row r="68" spans="1:57" ht="12.75">
      <c r="A68" s="13" t="s">
        <v>368</v>
      </c>
      <c r="C68" s="14" t="s">
        <v>187</v>
      </c>
      <c r="D68" s="5">
        <v>9.5</v>
      </c>
      <c r="E68" s="5">
        <v>10.5</v>
      </c>
      <c r="F68" s="5">
        <v>57</v>
      </c>
      <c r="G68" s="96"/>
      <c r="H68" s="84"/>
      <c r="J68" s="5"/>
      <c r="N68" s="5"/>
      <c r="W68" s="5">
        <v>57</v>
      </c>
      <c r="AT68" s="27"/>
      <c r="AU68" s="19"/>
      <c r="AV68" s="27"/>
      <c r="AW68" s="17">
        <v>16.2</v>
      </c>
      <c r="AY68" s="17">
        <v>44.1</v>
      </c>
      <c r="BB68" s="17">
        <f>(AY68-AW68)/5</f>
        <v>5.58</v>
      </c>
      <c r="BE68" s="30">
        <f t="shared" si="3"/>
        <v>0.2002897080428924</v>
      </c>
    </row>
    <row r="69" spans="1:34" ht="12.75">
      <c r="A69" s="46" t="s">
        <v>227</v>
      </c>
      <c r="N69" s="46">
        <v>5.9</v>
      </c>
      <c r="O69" s="46">
        <f>1-0.35</f>
        <v>0.65</v>
      </c>
      <c r="Q69" s="21">
        <f>N69*O69</f>
        <v>3.8350000000000004</v>
      </c>
      <c r="AF69" s="33">
        <v>1300</v>
      </c>
      <c r="AG69" s="33">
        <f>2700000/100</f>
        <v>27000</v>
      </c>
      <c r="AH69" s="33">
        <f>AF69/AG69</f>
        <v>0.04814814814814815</v>
      </c>
    </row>
    <row r="70" spans="1:41" ht="12.75">
      <c r="A70" s="13" t="s">
        <v>397</v>
      </c>
      <c r="N70" s="46">
        <v>6.3</v>
      </c>
      <c r="O70" s="5">
        <v>0.67</v>
      </c>
      <c r="AF70" s="39"/>
      <c r="AG70" s="39"/>
      <c r="AH70" s="39"/>
      <c r="AI70" s="33">
        <v>30</v>
      </c>
      <c r="AL70" s="17">
        <v>20.8</v>
      </c>
      <c r="AO70" s="17">
        <f>O70/(1-AL70/100)</f>
        <v>0.845959595959596</v>
      </c>
    </row>
    <row r="71" spans="1:41" ht="12.75">
      <c r="A71" s="13" t="s">
        <v>391</v>
      </c>
      <c r="N71" s="46">
        <v>5.1</v>
      </c>
      <c r="O71" s="5">
        <v>0.64</v>
      </c>
      <c r="AF71" s="39"/>
      <c r="AG71" s="39"/>
      <c r="AH71" s="39"/>
      <c r="AL71" s="17">
        <v>17.1</v>
      </c>
      <c r="AO71" s="17">
        <f>O71/(1-AL71/100)</f>
        <v>0.7720144752714114</v>
      </c>
    </row>
    <row r="72" spans="1:69" ht="12.75">
      <c r="A72" s="13" t="s">
        <v>122</v>
      </c>
      <c r="F72" s="17">
        <v>39.4</v>
      </c>
      <c r="I72" s="20">
        <f>F73/F72</f>
        <v>1.0913705583756346</v>
      </c>
      <c r="J72" s="17">
        <v>15.5</v>
      </c>
      <c r="K72" s="5" t="s">
        <v>626</v>
      </c>
      <c r="L72" s="5">
        <v>38</v>
      </c>
      <c r="N72" s="5">
        <v>2.6</v>
      </c>
      <c r="O72" s="24"/>
      <c r="Q72" s="27"/>
      <c r="AL72" s="17">
        <v>14</v>
      </c>
      <c r="AP72" s="17">
        <v>2.69</v>
      </c>
      <c r="AQ72" s="17">
        <v>7.3</v>
      </c>
      <c r="AR72" s="17">
        <f>AQ72/1.75</f>
        <v>4.171428571428572</v>
      </c>
      <c r="BH72" s="20">
        <f>(N72-1)*(L72/12)</f>
        <v>5.066666666666666</v>
      </c>
      <c r="BJ72" s="17">
        <v>15</v>
      </c>
      <c r="BP72" s="17">
        <v>0.29</v>
      </c>
      <c r="BQ72" s="17">
        <v>2509</v>
      </c>
    </row>
    <row r="73" spans="1:69" ht="12.75">
      <c r="A73" s="13" t="s">
        <v>123</v>
      </c>
      <c r="F73" s="17">
        <v>43</v>
      </c>
      <c r="N73" s="5"/>
      <c r="BI73" s="17">
        <v>36</v>
      </c>
      <c r="BJ73" s="17">
        <v>18</v>
      </c>
      <c r="BQ73" s="17">
        <v>2848</v>
      </c>
    </row>
    <row r="74" spans="1:38" ht="12.75">
      <c r="A74" s="13" t="s">
        <v>398</v>
      </c>
      <c r="N74" s="46">
        <v>6.6</v>
      </c>
      <c r="AL74" s="17">
        <v>21.1</v>
      </c>
    </row>
    <row r="75" spans="1:64" ht="12.75">
      <c r="A75" s="13" t="s">
        <v>453</v>
      </c>
      <c r="B75" s="27">
        <f>(18.7-AT75)/7.3</f>
        <v>1.2602739726027397</v>
      </c>
      <c r="F75" s="17">
        <v>38</v>
      </c>
      <c r="I75" s="20">
        <f>F76/F75</f>
        <v>1.1394736842105262</v>
      </c>
      <c r="J75" s="17">
        <v>18.4</v>
      </c>
      <c r="K75" s="5">
        <v>25.7</v>
      </c>
      <c r="L75" s="5">
        <v>38</v>
      </c>
      <c r="M75" s="5">
        <v>29</v>
      </c>
      <c r="N75" s="5">
        <v>4.3</v>
      </c>
      <c r="O75" s="5">
        <v>0.692</v>
      </c>
      <c r="P75" s="5">
        <v>29.7</v>
      </c>
      <c r="Q75" s="27">
        <f>N75*(O75+O76)/2</f>
        <v>3.1067499999999995</v>
      </c>
      <c r="V75" s="39"/>
      <c r="W75" s="39"/>
      <c r="AB75" s="17">
        <f>LN(Q75/2)/((K75+BG75/2))</f>
        <v>0.013407305422953467</v>
      </c>
      <c r="AC75" s="17">
        <f>(LN(Q75/2))/AB75</f>
        <v>32.85</v>
      </c>
      <c r="AF75" s="33">
        <v>1500</v>
      </c>
      <c r="AG75" s="33">
        <v>60</v>
      </c>
      <c r="AH75" s="33">
        <f>AF75/AG75</f>
        <v>25</v>
      </c>
      <c r="AI75" s="33">
        <v>38.5</v>
      </c>
      <c r="AJ75" s="33">
        <f>(K75-AI75/12)/P75</f>
        <v>0.7572951739618407</v>
      </c>
      <c r="AL75" s="17">
        <v>18</v>
      </c>
      <c r="AM75" s="17">
        <v>0.692</v>
      </c>
      <c r="AN75" s="17">
        <f>O75/AM75</f>
        <v>1</v>
      </c>
      <c r="AO75" s="17">
        <f>O75/(1-AL75/100)</f>
        <v>0.8439024390243901</v>
      </c>
      <c r="AQ75" s="17">
        <v>6.5</v>
      </c>
      <c r="AR75" s="17">
        <f>AQ75/1.75</f>
        <v>3.7142857142857144</v>
      </c>
      <c r="AT75" s="21">
        <v>9.5</v>
      </c>
      <c r="AU75" s="20">
        <f>AT75/F75</f>
        <v>0.25</v>
      </c>
      <c r="AV75" s="21">
        <f>(AT75-AQ75)/3</f>
        <v>1</v>
      </c>
      <c r="BF75" s="17">
        <v>40</v>
      </c>
      <c r="BG75" s="21">
        <f>BF75-K75</f>
        <v>14.3</v>
      </c>
      <c r="BH75" s="20">
        <f>(N75-1)*(L75/12)</f>
        <v>10.45</v>
      </c>
      <c r="BL75" s="21">
        <f>K75-J75</f>
        <v>7.300000000000001</v>
      </c>
    </row>
    <row r="76" spans="1:61" ht="12.75">
      <c r="A76" s="13" t="s">
        <v>454</v>
      </c>
      <c r="B76" s="27">
        <f>(19.2-AT76)/8.6</f>
        <v>1.127906976744186</v>
      </c>
      <c r="F76" s="17">
        <v>43.3</v>
      </c>
      <c r="K76" s="27">
        <v>37</v>
      </c>
      <c r="M76" s="5">
        <v>32.4</v>
      </c>
      <c r="N76" s="5"/>
      <c r="O76" s="5">
        <v>0.753</v>
      </c>
      <c r="P76" s="5">
        <v>29.6</v>
      </c>
      <c r="V76" s="39"/>
      <c r="W76" s="39"/>
      <c r="AL76" s="17">
        <v>15</v>
      </c>
      <c r="AM76" s="17">
        <v>0.753</v>
      </c>
      <c r="AN76" s="17">
        <f>O76/AM76</f>
        <v>1</v>
      </c>
      <c r="AO76" s="17">
        <f>O76/(1-AL76/100)</f>
        <v>0.8858823529411765</v>
      </c>
      <c r="AQ76" s="17">
        <v>6.8</v>
      </c>
      <c r="AR76" s="17">
        <f>AQ76/1.75</f>
        <v>3.8857142857142857</v>
      </c>
      <c r="AT76" s="21">
        <v>9.5</v>
      </c>
      <c r="AU76" s="20">
        <f>AT76/F76</f>
        <v>0.21939953810623558</v>
      </c>
      <c r="AV76" s="21">
        <f>(AT76-AQ76)/3</f>
        <v>0.9</v>
      </c>
      <c r="BG76" s="21"/>
      <c r="BI76" s="17">
        <v>19</v>
      </c>
    </row>
    <row r="77" spans="1:57" ht="12.75">
      <c r="A77" s="13" t="s">
        <v>369</v>
      </c>
      <c r="C77" s="14" t="s">
        <v>375</v>
      </c>
      <c r="D77" s="5">
        <v>5.5</v>
      </c>
      <c r="E77" s="5">
        <v>8.5</v>
      </c>
      <c r="F77" s="5">
        <v>81.8</v>
      </c>
      <c r="G77" s="96"/>
      <c r="H77" s="84"/>
      <c r="J77" s="5"/>
      <c r="K77" s="5">
        <v>9.5</v>
      </c>
      <c r="L77" s="5">
        <v>51</v>
      </c>
      <c r="N77" s="5"/>
      <c r="Q77" s="27"/>
      <c r="AW77" s="17">
        <v>35.8</v>
      </c>
      <c r="AY77" s="17">
        <v>75.8</v>
      </c>
      <c r="BB77" s="17">
        <f>(AY77-AW77)/5</f>
        <v>8</v>
      </c>
      <c r="BE77" s="30">
        <f>LN(AY77/AW77)/5</f>
        <v>0.15003007984833427</v>
      </c>
    </row>
    <row r="78" spans="1:57" ht="12.75">
      <c r="A78" s="13" t="s">
        <v>370</v>
      </c>
      <c r="C78" s="14" t="s">
        <v>376</v>
      </c>
      <c r="D78" s="5">
        <v>9</v>
      </c>
      <c r="E78" s="5">
        <v>12</v>
      </c>
      <c r="F78" s="5">
        <v>162</v>
      </c>
      <c r="G78" s="96"/>
      <c r="H78" s="84"/>
      <c r="J78" s="5"/>
      <c r="N78" s="5"/>
      <c r="Q78" s="27"/>
      <c r="AW78" s="17">
        <v>37.5</v>
      </c>
      <c r="AY78" s="17">
        <v>113.1</v>
      </c>
      <c r="BB78" s="17">
        <f>(AY78-AW78)/5</f>
        <v>15.12</v>
      </c>
      <c r="BE78" s="30">
        <f>LN(AY78/AW78)/5</f>
        <v>0.2207862900291419</v>
      </c>
    </row>
    <row r="79" spans="1:60" ht="12.75">
      <c r="A79" s="13" t="s">
        <v>264</v>
      </c>
      <c r="C79" s="14"/>
      <c r="D79" s="5"/>
      <c r="E79" s="5"/>
      <c r="F79" s="5"/>
      <c r="G79" s="96"/>
      <c r="H79" s="84"/>
      <c r="J79" s="5">
        <v>7.5</v>
      </c>
      <c r="K79" s="5">
        <v>10.2</v>
      </c>
      <c r="L79" s="5">
        <v>49.6</v>
      </c>
      <c r="N79" s="5">
        <v>5.6</v>
      </c>
      <c r="O79" s="5">
        <v>0.58</v>
      </c>
      <c r="P79" s="5">
        <v>13.9</v>
      </c>
      <c r="Q79" s="27">
        <f>N79*(O79)</f>
        <v>3.2479999999999998</v>
      </c>
      <c r="R79" s="17" t="s">
        <v>715</v>
      </c>
      <c r="AB79" s="17">
        <f>LN(Q79/2)/((K79+BH79/2))</f>
        <v>0.024605492645779065</v>
      </c>
      <c r="AC79" s="17">
        <f>(LN(Q79/2))/AB79</f>
        <v>19.706666666666667</v>
      </c>
      <c r="AI79" s="33">
        <v>36</v>
      </c>
      <c r="AJ79" s="33">
        <f>(K79-AI79/12)/P79</f>
        <v>0.5179856115107913</v>
      </c>
      <c r="AM79" s="17">
        <v>0.62</v>
      </c>
      <c r="AN79" s="17">
        <f>O79/AM79</f>
        <v>0.9354838709677419</v>
      </c>
      <c r="BG79" s="17">
        <v>22</v>
      </c>
      <c r="BH79" s="20">
        <f>(N79-1)*(L79/12)</f>
        <v>19.013333333333335</v>
      </c>
    </row>
    <row r="80" spans="1:17" ht="12.75">
      <c r="A80" s="46" t="s">
        <v>224</v>
      </c>
      <c r="N80" s="46">
        <v>4.6</v>
      </c>
      <c r="O80" s="46">
        <f>1-0.29</f>
        <v>0.71</v>
      </c>
      <c r="Q80" s="21">
        <f>N80*O80</f>
        <v>3.2659999999999996</v>
      </c>
    </row>
    <row r="81" spans="1:41" ht="12.75">
      <c r="A81" s="13" t="s">
        <v>378</v>
      </c>
      <c r="K81" s="5" t="s">
        <v>432</v>
      </c>
      <c r="L81" s="5">
        <v>40.9</v>
      </c>
      <c r="N81" s="46">
        <v>3.5</v>
      </c>
      <c r="O81" s="5">
        <v>0.55</v>
      </c>
      <c r="Q81" s="21">
        <f>N81*O81</f>
        <v>1.9250000000000003</v>
      </c>
      <c r="AF81" s="47">
        <v>300</v>
      </c>
      <c r="AG81" s="48">
        <v>73100</v>
      </c>
      <c r="AH81" s="49">
        <v>0.004103967168262654</v>
      </c>
      <c r="AI81" s="55"/>
      <c r="AJ81" s="55"/>
      <c r="AL81" s="17">
        <v>20</v>
      </c>
      <c r="AO81" s="17">
        <f>O81/(1-AL81/100)</f>
        <v>0.6875</v>
      </c>
    </row>
    <row r="82" spans="1:62" ht="12.75">
      <c r="A82" s="13" t="s">
        <v>159</v>
      </c>
      <c r="F82" s="17">
        <v>42</v>
      </c>
      <c r="I82" s="20">
        <f>F83/F82</f>
        <v>1.4285714285714286</v>
      </c>
      <c r="N82" s="17">
        <v>3.5</v>
      </c>
      <c r="BJ82" s="17">
        <v>9</v>
      </c>
    </row>
    <row r="83" spans="1:62" ht="12.75">
      <c r="A83" s="13" t="s">
        <v>160</v>
      </c>
      <c r="F83" s="17">
        <v>60</v>
      </c>
      <c r="BI83" s="17">
        <v>48</v>
      </c>
      <c r="BJ83" s="17">
        <v>33</v>
      </c>
    </row>
    <row r="84" spans="1:14" ht="12.75">
      <c r="A84" s="13" t="s">
        <v>318</v>
      </c>
      <c r="C84" s="14"/>
      <c r="D84" s="5"/>
      <c r="E84" s="5"/>
      <c r="F84" s="5"/>
      <c r="G84" s="96"/>
      <c r="H84" s="84"/>
      <c r="J84" s="5"/>
      <c r="M84" s="5">
        <v>50</v>
      </c>
      <c r="N84" s="5"/>
    </row>
    <row r="85" spans="1:65" ht="12.75">
      <c r="A85" s="13" t="s">
        <v>133</v>
      </c>
      <c r="B85" s="49"/>
      <c r="C85" s="49"/>
      <c r="D85" s="48"/>
      <c r="E85" s="27"/>
      <c r="F85" s="16">
        <v>42.3</v>
      </c>
      <c r="G85" s="96"/>
      <c r="H85" s="84"/>
      <c r="I85" s="20">
        <f>F86/F85</f>
        <v>1.0520094562647755</v>
      </c>
      <c r="J85" s="5"/>
      <c r="N85" s="5"/>
      <c r="BK85" s="17">
        <v>1.31</v>
      </c>
      <c r="BM85" s="17">
        <v>12</v>
      </c>
    </row>
    <row r="86" spans="1:65" ht="12.75">
      <c r="A86" s="13" t="s">
        <v>134</v>
      </c>
      <c r="C86" s="5"/>
      <c r="D86" s="5"/>
      <c r="E86" s="5"/>
      <c r="F86" s="5">
        <v>44.5</v>
      </c>
      <c r="G86" s="96"/>
      <c r="H86" s="84"/>
      <c r="J86" s="5"/>
      <c r="N86" s="5"/>
      <c r="BI86" s="17">
        <v>0</v>
      </c>
      <c r="BM86" s="17">
        <v>12</v>
      </c>
    </row>
    <row r="87" spans="1:65" ht="12.75">
      <c r="A87" s="13" t="s">
        <v>218</v>
      </c>
      <c r="B87" s="23"/>
      <c r="C87" s="36"/>
      <c r="D87" s="27"/>
      <c r="E87" s="27"/>
      <c r="F87" s="16"/>
      <c r="G87" s="96"/>
      <c r="H87" s="84"/>
      <c r="I87" s="20"/>
      <c r="J87" s="5"/>
      <c r="N87" s="5">
        <v>4.7</v>
      </c>
      <c r="O87" s="5">
        <v>0.596</v>
      </c>
      <c r="Q87" s="27">
        <f>N87*O87</f>
        <v>2.8012</v>
      </c>
      <c r="BL87" s="21"/>
      <c r="BM87" s="17">
        <v>19</v>
      </c>
    </row>
    <row r="88" spans="1:15" ht="12.75">
      <c r="A88" s="13" t="s">
        <v>392</v>
      </c>
      <c r="N88" s="46">
        <v>4.7</v>
      </c>
      <c r="O88" s="5">
        <v>0.65</v>
      </c>
    </row>
    <row r="89" spans="1:17" ht="12.75">
      <c r="A89" s="46" t="s">
        <v>222</v>
      </c>
      <c r="N89" s="46">
        <v>6</v>
      </c>
      <c r="O89" s="46">
        <f>1-0.14</f>
        <v>0.86</v>
      </c>
      <c r="Q89" s="21">
        <f>N89*O89</f>
        <v>5.16</v>
      </c>
    </row>
    <row r="90" spans="1:17" ht="12.75">
      <c r="A90" s="46" t="s">
        <v>223</v>
      </c>
      <c r="N90" s="46">
        <v>3.7</v>
      </c>
      <c r="O90" s="46">
        <f>1-0.26</f>
        <v>0.74</v>
      </c>
      <c r="Q90" s="21">
        <f>N90*O90</f>
        <v>2.738</v>
      </c>
    </row>
    <row r="91" spans="1:41" ht="12.75">
      <c r="A91" s="13" t="s">
        <v>399</v>
      </c>
      <c r="N91" s="46">
        <v>5.1</v>
      </c>
      <c r="O91" s="5">
        <v>0.69</v>
      </c>
      <c r="AL91" s="17">
        <v>25.4</v>
      </c>
      <c r="AO91" s="17">
        <f>O91/(1-AL91/100)</f>
        <v>0.9249329758713136</v>
      </c>
    </row>
    <row r="92" spans="1:62" ht="12.75">
      <c r="A92" s="13" t="s">
        <v>710</v>
      </c>
      <c r="F92" s="17">
        <v>55</v>
      </c>
      <c r="K92" s="5">
        <v>22.8</v>
      </c>
      <c r="N92" s="46">
        <v>5.47</v>
      </c>
      <c r="O92" s="5">
        <v>0.57</v>
      </c>
      <c r="Q92" s="21">
        <f>N92*O92</f>
        <v>3.1178999999999997</v>
      </c>
      <c r="AB92" s="17">
        <f>LN(Q92/2)/((K92+BG92/2))</f>
        <v>0.015363754938422259</v>
      </c>
      <c r="AC92" s="17">
        <f>(LN(Q92/2))/AB92</f>
        <v>28.9</v>
      </c>
      <c r="AF92" s="47">
        <v>4863</v>
      </c>
      <c r="AG92" s="48">
        <v>286100</v>
      </c>
      <c r="AH92" s="49">
        <v>0.016997553303040897</v>
      </c>
      <c r="AI92" s="55"/>
      <c r="AJ92" s="55"/>
      <c r="AL92" s="17">
        <v>17</v>
      </c>
      <c r="AO92" s="17">
        <f>O92/(1-AL92/100)</f>
        <v>0.6867469879518072</v>
      </c>
      <c r="BF92" s="17">
        <v>35</v>
      </c>
      <c r="BG92" s="21">
        <f>BF92-K92</f>
        <v>12.2</v>
      </c>
      <c r="BJ92" s="17">
        <v>15</v>
      </c>
    </row>
    <row r="93" spans="1:62" ht="12.75">
      <c r="A93" s="13" t="s">
        <v>709</v>
      </c>
      <c r="I93" s="20"/>
      <c r="N93" s="46"/>
      <c r="BI93" s="17">
        <v>4</v>
      </c>
      <c r="BJ93" s="17">
        <v>16</v>
      </c>
    </row>
    <row r="94" spans="1:41" ht="12.75">
      <c r="A94" s="13" t="s">
        <v>393</v>
      </c>
      <c r="N94" s="46">
        <v>2.4</v>
      </c>
      <c r="O94" s="5">
        <v>0.73</v>
      </c>
      <c r="AL94" s="17">
        <v>17.9</v>
      </c>
      <c r="AO94" s="17">
        <f>O94/(1-AL94/100)</f>
        <v>0.8891595615103532</v>
      </c>
    </row>
    <row r="95" spans="1:9" ht="12.75">
      <c r="A95" s="13" t="s">
        <v>144</v>
      </c>
      <c r="F95" s="17">
        <v>41</v>
      </c>
      <c r="I95" s="20">
        <f>F96/F95</f>
        <v>1.2414634146341463</v>
      </c>
    </row>
    <row r="96" spans="1:6" ht="12.75">
      <c r="A96" s="13" t="s">
        <v>145</v>
      </c>
      <c r="F96" s="17">
        <v>50.9</v>
      </c>
    </row>
    <row r="97" spans="1:62" ht="12.75">
      <c r="A97" s="13" t="s">
        <v>273</v>
      </c>
      <c r="N97" s="5">
        <v>5</v>
      </c>
      <c r="O97" s="5">
        <v>0.44</v>
      </c>
      <c r="Q97" s="21">
        <f>N97*O97</f>
        <v>2.2</v>
      </c>
      <c r="AL97" s="17">
        <v>33</v>
      </c>
      <c r="AM97" s="17">
        <v>0.436</v>
      </c>
      <c r="AN97" s="17">
        <v>1</v>
      </c>
      <c r="AO97" s="17">
        <f>O97/(1-AL97/100)</f>
        <v>0.6567164179104479</v>
      </c>
      <c r="AP97" s="17">
        <v>2.64</v>
      </c>
      <c r="BI97" s="17">
        <v>11</v>
      </c>
      <c r="BJ97" s="17">
        <v>17</v>
      </c>
    </row>
    <row r="98" spans="1:57" ht="12.75">
      <c r="A98" s="13" t="s">
        <v>384</v>
      </c>
      <c r="N98" s="46">
        <v>6.9</v>
      </c>
      <c r="AW98" s="17">
        <v>18.5</v>
      </c>
      <c r="AY98" s="17">
        <v>29.5</v>
      </c>
      <c r="BB98" s="17">
        <f>(AY98-AW98)/4</f>
        <v>2.75</v>
      </c>
      <c r="BE98" s="30">
        <f>LN(AY98/AW98)/5</f>
        <v>0.093323906252299</v>
      </c>
    </row>
    <row r="99" spans="1:14" ht="12.75">
      <c r="A99" s="13" t="s">
        <v>291</v>
      </c>
      <c r="C99" s="14"/>
      <c r="D99" s="5"/>
      <c r="E99" s="5"/>
      <c r="F99" s="5"/>
      <c r="G99" s="96"/>
      <c r="H99" s="84"/>
      <c r="J99" s="5">
        <v>13.3</v>
      </c>
      <c r="N99" s="5"/>
    </row>
    <row r="100" spans="1:41" ht="12.75">
      <c r="A100" s="13" t="s">
        <v>394</v>
      </c>
      <c r="N100" s="46">
        <v>5.6</v>
      </c>
      <c r="O100" s="5">
        <v>0.7</v>
      </c>
      <c r="AL100" s="17">
        <v>24</v>
      </c>
      <c r="AO100" s="17">
        <f>O100/(1-AL100/100)</f>
        <v>0.9210526315789473</v>
      </c>
    </row>
    <row r="101" spans="1:64" ht="12.75">
      <c r="A101" s="13" t="s">
        <v>219</v>
      </c>
      <c r="B101" s="23"/>
      <c r="C101" s="36"/>
      <c r="D101" s="27"/>
      <c r="E101" s="27"/>
      <c r="F101" s="16"/>
      <c r="G101" s="96"/>
      <c r="H101" s="84"/>
      <c r="I101" s="20"/>
      <c r="J101" s="5"/>
      <c r="N101" s="5">
        <v>4.2</v>
      </c>
      <c r="O101" s="5">
        <v>0.78</v>
      </c>
      <c r="Q101" s="27">
        <f>N101*O101</f>
        <v>3.2760000000000002</v>
      </c>
      <c r="BL101" s="21"/>
    </row>
    <row r="102" spans="1:62" ht="12.75">
      <c r="A102" s="13" t="s">
        <v>433</v>
      </c>
      <c r="F102" s="17">
        <v>65.7</v>
      </c>
      <c r="I102" s="17">
        <f>F103/F102</f>
        <v>1.1080669710806696</v>
      </c>
      <c r="N102" s="46">
        <v>6.9</v>
      </c>
      <c r="BJ102" s="17">
        <v>15</v>
      </c>
    </row>
    <row r="103" spans="1:62" ht="12.75">
      <c r="A103" s="13" t="s">
        <v>434</v>
      </c>
      <c r="F103" s="17">
        <v>72.8</v>
      </c>
      <c r="N103" s="46"/>
      <c r="BI103" s="17">
        <v>12</v>
      </c>
      <c r="BJ103" s="17">
        <v>28</v>
      </c>
    </row>
    <row r="104" spans="1:69" ht="12.75">
      <c r="A104" s="13" t="s">
        <v>137</v>
      </c>
      <c r="C104" s="5"/>
      <c r="D104" s="5"/>
      <c r="E104" s="5"/>
      <c r="F104" s="5">
        <v>43</v>
      </c>
      <c r="G104" s="96"/>
      <c r="H104" s="84"/>
      <c r="I104" s="20">
        <f>F105/F104</f>
        <v>1.0046511627906978</v>
      </c>
      <c r="J104" s="5"/>
      <c r="N104" s="5">
        <v>2.8</v>
      </c>
      <c r="AH104" s="17">
        <v>0.4</v>
      </c>
      <c r="BM104" s="17">
        <v>12</v>
      </c>
      <c r="BQ104" s="17">
        <v>1740</v>
      </c>
    </row>
    <row r="105" spans="1:65" ht="12.75">
      <c r="A105" s="13" t="s">
        <v>138</v>
      </c>
      <c r="C105" s="5"/>
      <c r="D105" s="5"/>
      <c r="E105" s="5"/>
      <c r="F105" s="5">
        <v>43.2</v>
      </c>
      <c r="G105" s="96"/>
      <c r="H105" s="84"/>
      <c r="J105" s="5"/>
      <c r="N105" s="5"/>
      <c r="BI105" s="17">
        <v>0</v>
      </c>
      <c r="BM105" s="17">
        <v>12</v>
      </c>
    </row>
    <row r="106" spans="1:36" ht="12.75">
      <c r="A106" s="13" t="s">
        <v>265</v>
      </c>
      <c r="C106" s="14"/>
      <c r="D106" s="5"/>
      <c r="E106" s="5"/>
      <c r="F106" s="5"/>
      <c r="G106" s="96"/>
      <c r="H106" s="84"/>
      <c r="J106" s="5"/>
      <c r="K106" s="5">
        <v>14.3</v>
      </c>
      <c r="L106" s="5">
        <v>92.6</v>
      </c>
      <c r="N106" s="5"/>
      <c r="P106" s="5">
        <v>24.9</v>
      </c>
      <c r="R106" s="17" t="s">
        <v>266</v>
      </c>
      <c r="AI106" s="33">
        <f>12*6</f>
        <v>72</v>
      </c>
      <c r="AJ106" s="33">
        <f>(K106-AI106/12)/P106</f>
        <v>0.33333333333333337</v>
      </c>
    </row>
    <row r="107" spans="1:62" ht="12.75">
      <c r="A107" s="13" t="s">
        <v>694</v>
      </c>
      <c r="BI107" s="17">
        <v>4</v>
      </c>
      <c r="BJ107" s="17">
        <v>25</v>
      </c>
    </row>
    <row r="108" spans="1:63" ht="12.75">
      <c r="A108" s="13" t="s">
        <v>154</v>
      </c>
      <c r="F108" s="17">
        <v>37.9</v>
      </c>
      <c r="I108" s="20">
        <f>F109/F108</f>
        <v>1.395778364116095</v>
      </c>
      <c r="BK108" s="17">
        <v>1.23</v>
      </c>
    </row>
    <row r="109" spans="1:61" ht="12.75">
      <c r="A109" s="13" t="s">
        <v>155</v>
      </c>
      <c r="F109" s="17">
        <v>52.9</v>
      </c>
      <c r="BI109" s="17">
        <v>5</v>
      </c>
    </row>
    <row r="110" spans="1:62" ht="12.75">
      <c r="A110" s="13" t="s">
        <v>711</v>
      </c>
      <c r="N110" s="46">
        <v>4.1</v>
      </c>
      <c r="AL110" s="17">
        <v>18.7</v>
      </c>
      <c r="AP110" s="17">
        <v>2.65</v>
      </c>
      <c r="BI110" s="17">
        <v>25</v>
      </c>
      <c r="BJ110" s="17">
        <v>27</v>
      </c>
    </row>
    <row r="111" spans="1:38" ht="12.75">
      <c r="A111" s="13" t="s">
        <v>400</v>
      </c>
      <c r="N111" s="46">
        <v>6.5</v>
      </c>
      <c r="AL111" s="17">
        <v>16</v>
      </c>
    </row>
    <row r="112" spans="1:14" ht="12.75">
      <c r="A112" s="13" t="s">
        <v>290</v>
      </c>
      <c r="C112" s="14"/>
      <c r="D112" s="5"/>
      <c r="E112" s="5"/>
      <c r="F112" s="5"/>
      <c r="G112" s="96"/>
      <c r="H112" s="84"/>
      <c r="J112" s="5">
        <v>13.1</v>
      </c>
      <c r="N112" s="5"/>
    </row>
    <row r="113" spans="1:15" ht="12.75">
      <c r="A113" s="13" t="s">
        <v>401</v>
      </c>
      <c r="N113" s="46">
        <v>7.2</v>
      </c>
      <c r="O113" s="5">
        <v>0.62</v>
      </c>
    </row>
    <row r="114" spans="1:14" ht="12.75">
      <c r="A114" s="13" t="s">
        <v>361</v>
      </c>
      <c r="M114" s="5">
        <v>30</v>
      </c>
      <c r="N114" s="46">
        <v>5.7</v>
      </c>
    </row>
    <row r="115" spans="1:62" ht="12.75">
      <c r="A115" s="13" t="s">
        <v>377</v>
      </c>
      <c r="I115" s="20"/>
      <c r="N115" s="46">
        <v>4.85</v>
      </c>
      <c r="BI115" s="17">
        <v>3</v>
      </c>
      <c r="BJ115" s="17">
        <v>19</v>
      </c>
    </row>
    <row r="116" spans="1:62" ht="12.75">
      <c r="A116" s="13" t="s">
        <v>708</v>
      </c>
      <c r="N116" s="46">
        <v>6.8</v>
      </c>
      <c r="O116" s="5">
        <v>0.39</v>
      </c>
      <c r="Q116" s="21">
        <f>N116*O116</f>
        <v>2.652</v>
      </c>
      <c r="AF116" s="47">
        <v>550</v>
      </c>
      <c r="AG116" s="48">
        <v>2160</v>
      </c>
      <c r="AH116" s="49">
        <v>0.25462962962962965</v>
      </c>
      <c r="AI116" s="55"/>
      <c r="AJ116" s="55"/>
      <c r="BI116" s="17">
        <v>0</v>
      </c>
      <c r="BJ116" s="17">
        <v>17</v>
      </c>
    </row>
    <row r="117" spans="1:17" ht="12.75">
      <c r="A117" s="46" t="s">
        <v>226</v>
      </c>
      <c r="N117" s="46">
        <v>5.5</v>
      </c>
      <c r="O117" s="46">
        <f>1-0.27</f>
        <v>0.73</v>
      </c>
      <c r="Q117" s="21">
        <f>N117*O117</f>
        <v>4.015</v>
      </c>
    </row>
    <row r="118" spans="1:14" ht="12.75">
      <c r="A118" s="13" t="s">
        <v>387</v>
      </c>
      <c r="N118" s="46">
        <v>6</v>
      </c>
    </row>
    <row r="119" spans="1:15" ht="12.75">
      <c r="A119" s="13" t="s">
        <v>395</v>
      </c>
      <c r="N119" s="46">
        <v>6.2</v>
      </c>
      <c r="O119" s="5">
        <v>0.48</v>
      </c>
    </row>
    <row r="120" spans="1:41" ht="12.75">
      <c r="A120" s="13" t="s">
        <v>396</v>
      </c>
      <c r="N120" s="46">
        <v>5.3</v>
      </c>
      <c r="O120" s="5">
        <v>0.61</v>
      </c>
      <c r="AL120" s="17">
        <v>20.4</v>
      </c>
      <c r="AO120" s="17">
        <f>O120/(1-AL120/100)</f>
        <v>0.7663316582914572</v>
      </c>
    </row>
    <row r="121" spans="1:17" ht="12.75">
      <c r="A121" s="46" t="s">
        <v>221</v>
      </c>
      <c r="N121" s="46">
        <v>5</v>
      </c>
      <c r="O121" s="46">
        <f>1-0.29</f>
        <v>0.71</v>
      </c>
      <c r="Q121" s="21">
        <f>N121*O121</f>
        <v>3.55</v>
      </c>
    </row>
    <row r="122" spans="1:62" ht="12.75">
      <c r="A122" s="13" t="s">
        <v>707</v>
      </c>
      <c r="N122" s="46">
        <v>5.8</v>
      </c>
      <c r="O122" s="5" t="s">
        <v>616</v>
      </c>
      <c r="AL122" s="17">
        <v>10.3</v>
      </c>
      <c r="BI122" s="17">
        <v>53.8</v>
      </c>
      <c r="BJ122" s="17">
        <v>35</v>
      </c>
    </row>
    <row r="123" spans="1:34" ht="12.75">
      <c r="A123" s="13" t="s">
        <v>79</v>
      </c>
      <c r="N123" s="17">
        <v>6.6</v>
      </c>
      <c r="O123" s="5">
        <v>0.75</v>
      </c>
      <c r="Q123" s="21">
        <f>N123*O123</f>
        <v>4.949999999999999</v>
      </c>
      <c r="AF123" s="33"/>
      <c r="AG123" s="33"/>
      <c r="AH123" s="33"/>
    </row>
    <row r="124" spans="1:17" ht="12.75">
      <c r="A124" s="46" t="s">
        <v>220</v>
      </c>
      <c r="L124" s="5">
        <f>2.6*12</f>
        <v>31.200000000000003</v>
      </c>
      <c r="N124" s="46">
        <v>5.1</v>
      </c>
      <c r="O124" s="46">
        <f>1-0.19</f>
        <v>0.81</v>
      </c>
      <c r="Q124" s="21">
        <f>N124*O124</f>
        <v>4.131</v>
      </c>
    </row>
    <row r="125" spans="1:64" ht="12.75">
      <c r="A125" s="13" t="s">
        <v>304</v>
      </c>
      <c r="B125" s="23">
        <f>(AY125-AT125)/7</f>
        <v>1.5857142857142859</v>
      </c>
      <c r="C125" s="14"/>
      <c r="D125" s="5"/>
      <c r="E125" s="5"/>
      <c r="F125" s="5">
        <v>48.9</v>
      </c>
      <c r="G125" s="96"/>
      <c r="H125" s="84"/>
      <c r="I125" s="19">
        <f>F126/F125</f>
        <v>1.1370143149284255</v>
      </c>
      <c r="J125" s="5">
        <v>16.5</v>
      </c>
      <c r="K125" s="5">
        <v>22.2</v>
      </c>
      <c r="L125" s="5">
        <v>29.6</v>
      </c>
      <c r="M125" s="5">
        <v>47.5</v>
      </c>
      <c r="N125" s="5">
        <v>6.5</v>
      </c>
      <c r="O125" s="5">
        <v>0.76</v>
      </c>
      <c r="P125" s="5">
        <v>46.6</v>
      </c>
      <c r="Q125" s="27">
        <f>N125*(O125)</f>
        <v>4.94</v>
      </c>
      <c r="R125" s="17" t="s">
        <v>365</v>
      </c>
      <c r="Z125" s="5">
        <v>36.3</v>
      </c>
      <c r="AA125" s="17">
        <f>Z125/F125</f>
        <v>0.7423312883435582</v>
      </c>
      <c r="AB125" s="17">
        <f>LN(Q125/2)/((K125+BH125/2))</f>
        <v>0.02808130902608341</v>
      </c>
      <c r="AC125" s="17">
        <f>(LN(Q125/2))/AB125</f>
        <v>32.2</v>
      </c>
      <c r="AF125" s="33">
        <v>9650</v>
      </c>
      <c r="AG125" s="33">
        <v>9000</v>
      </c>
      <c r="AH125" s="33">
        <f>AF125/AG125</f>
        <v>1.0722222222222222</v>
      </c>
      <c r="AI125" s="33">
        <v>30</v>
      </c>
      <c r="AJ125" s="33">
        <f>(K125-AI125/12)/P125</f>
        <v>0.4227467811158798</v>
      </c>
      <c r="AM125" s="17">
        <v>0.8</v>
      </c>
      <c r="AN125" s="17">
        <f>O125/AM125</f>
        <v>0.95</v>
      </c>
      <c r="AQ125" s="17">
        <v>7.6</v>
      </c>
      <c r="AR125" s="17">
        <f>AQ125/1.75</f>
        <v>4.3428571428571425</v>
      </c>
      <c r="AT125" s="21">
        <v>12.2</v>
      </c>
      <c r="AU125" s="20">
        <f>AT125/F125</f>
        <v>0.2494887525562372</v>
      </c>
      <c r="AV125" s="21">
        <f>(AT125-AQ125)/3</f>
        <v>1.5333333333333332</v>
      </c>
      <c r="AW125" s="17">
        <v>13.4</v>
      </c>
      <c r="AX125" s="17">
        <f>(AW125-AT125)/2</f>
        <v>0.6000000000000005</v>
      </c>
      <c r="AY125" s="17">
        <v>23.3</v>
      </c>
      <c r="AZ125" s="17">
        <f>AY125/F125</f>
        <v>0.47648261758691207</v>
      </c>
      <c r="BB125" s="17">
        <f>(AY125-AW125)/5</f>
        <v>1.98</v>
      </c>
      <c r="BC125" s="30">
        <f>B125/((AW125+AY125)/2)^0.75</f>
        <v>0.1788536828571408</v>
      </c>
      <c r="BD125" s="30">
        <f>LN(AY125/AT125)/7</f>
        <v>0.09243105840463486</v>
      </c>
      <c r="BE125" s="30">
        <f>LN(AY125/AW125)/5</f>
        <v>0.11063973072295785</v>
      </c>
      <c r="BF125" s="17">
        <v>40.3</v>
      </c>
      <c r="BH125" s="20">
        <v>20</v>
      </c>
      <c r="BL125" s="21">
        <f>K125-J125</f>
        <v>5.699999999999999</v>
      </c>
    </row>
    <row r="126" spans="1:64" ht="12.75">
      <c r="A126" s="13" t="s">
        <v>305</v>
      </c>
      <c r="B126" s="23">
        <f>(AY126-AT126)/7</f>
        <v>1.6999999999999997</v>
      </c>
      <c r="C126" s="14" t="s">
        <v>32</v>
      </c>
      <c r="D126" s="5">
        <v>17</v>
      </c>
      <c r="E126" s="5">
        <v>18.5</v>
      </c>
      <c r="F126" s="5">
        <v>55.6</v>
      </c>
      <c r="G126" s="96"/>
      <c r="H126" s="84"/>
      <c r="J126" s="5"/>
      <c r="N126" s="5"/>
      <c r="O126" s="5">
        <v>0.76</v>
      </c>
      <c r="Q126" s="27"/>
      <c r="AQ126" s="17">
        <v>8.4</v>
      </c>
      <c r="AR126" s="17">
        <f>AQ126/1.75</f>
        <v>4.8</v>
      </c>
      <c r="AT126" s="21">
        <v>11.3</v>
      </c>
      <c r="AU126" s="20">
        <f>AT126/F126</f>
        <v>0.20323741007194246</v>
      </c>
      <c r="AV126" s="21">
        <f>(AT126-AQ126)/3</f>
        <v>0.9666666666666668</v>
      </c>
      <c r="AW126" s="17">
        <v>13.4</v>
      </c>
      <c r="AX126" s="17">
        <f>(AW126-AT126)/2</f>
        <v>1.0499999999999998</v>
      </c>
      <c r="AY126" s="17">
        <v>23.2</v>
      </c>
      <c r="BA126" s="17">
        <v>0.41726618705035967</v>
      </c>
      <c r="BB126" s="17">
        <f>(AY126-AW126)/5</f>
        <v>1.9599999999999997</v>
      </c>
      <c r="BC126" s="30">
        <f>B126/((AW126+AY126)/2)^0.75</f>
        <v>0.1921368224489989</v>
      </c>
      <c r="BD126" s="30">
        <f>LN(AY126/AT126)/7</f>
        <v>0.10276422185056702</v>
      </c>
      <c r="BE126" s="30">
        <f>LN(AY126/AW126)/5</f>
        <v>0.10977951434307971</v>
      </c>
      <c r="BI126" s="17">
        <v>78.8</v>
      </c>
      <c r="BL126" s="21"/>
    </row>
    <row r="127" spans="1:14" ht="12.75">
      <c r="A127" s="13" t="s">
        <v>311</v>
      </c>
      <c r="C127" s="14"/>
      <c r="D127" s="5"/>
      <c r="E127" s="5"/>
      <c r="F127" s="5"/>
      <c r="G127" s="96"/>
      <c r="H127" s="84"/>
      <c r="J127" s="5">
        <v>16.5</v>
      </c>
      <c r="N127" s="5"/>
    </row>
    <row r="128" spans="1:38" ht="12.75">
      <c r="A128" s="13" t="s">
        <v>402</v>
      </c>
      <c r="N128" s="46">
        <v>5.2</v>
      </c>
      <c r="AL128" s="17">
        <v>22.8</v>
      </c>
    </row>
    <row r="129" spans="1:63" ht="12.75">
      <c r="A129" s="13" t="s">
        <v>149</v>
      </c>
      <c r="F129" s="17">
        <f>(57.4+55.8+58.8+58.1+55.2)/5</f>
        <v>57.06</v>
      </c>
      <c r="L129" s="5">
        <v>36</v>
      </c>
      <c r="N129" s="17">
        <v>8.5</v>
      </c>
      <c r="O129" s="5">
        <v>0.51</v>
      </c>
      <c r="Q129" s="21">
        <f>N129*O129</f>
        <v>4.335</v>
      </c>
      <c r="R129" s="17" t="s">
        <v>557</v>
      </c>
      <c r="AI129" s="33">
        <v>21.5</v>
      </c>
      <c r="BH129" s="20">
        <f>(N129-1)*(L129/12)</f>
        <v>22.5</v>
      </c>
      <c r="BK129" s="17">
        <v>0.97</v>
      </c>
    </row>
    <row r="130" spans="1:57" ht="12.75">
      <c r="A130" s="13" t="s">
        <v>406</v>
      </c>
      <c r="F130" s="17">
        <v>59</v>
      </c>
      <c r="I130" s="17">
        <f>F131/F130</f>
        <v>1.193220338983051</v>
      </c>
      <c r="N130" s="46">
        <v>5.7</v>
      </c>
      <c r="AF130" s="33">
        <v>9602</v>
      </c>
      <c r="AG130" s="33">
        <f>AF130*2</f>
        <v>19204</v>
      </c>
      <c r="AH130" s="33">
        <f>AF130/AG130</f>
        <v>0.5</v>
      </c>
      <c r="AL130" s="17">
        <v>10</v>
      </c>
      <c r="AM130" s="17">
        <v>0.85</v>
      </c>
      <c r="AW130" s="17">
        <v>18.3</v>
      </c>
      <c r="AY130" s="17">
        <v>29.5</v>
      </c>
      <c r="BB130" s="17">
        <f>(AY130-AW130)/4</f>
        <v>2.8</v>
      </c>
      <c r="BE130" s="30">
        <f>LN(AY130/AW130)/5</f>
        <v>0.09549784069967979</v>
      </c>
    </row>
    <row r="131" spans="1:61" ht="12.75">
      <c r="A131" s="13" t="s">
        <v>405</v>
      </c>
      <c r="F131" s="17">
        <v>70.4</v>
      </c>
      <c r="N131" s="46"/>
      <c r="AW131" s="17">
        <v>18.5</v>
      </c>
      <c r="AY131" s="17">
        <v>29.5</v>
      </c>
      <c r="BB131" s="17">
        <f>(AY131-AW131)/4</f>
        <v>2.75</v>
      </c>
      <c r="BE131" s="30">
        <f>LN(AY131/AW131)/5</f>
        <v>0.093323906252299</v>
      </c>
      <c r="BI131" s="17">
        <v>40.2</v>
      </c>
    </row>
    <row r="132" spans="1:17" ht="12.75">
      <c r="A132" s="46" t="s">
        <v>225</v>
      </c>
      <c r="N132" s="46">
        <v>5.3</v>
      </c>
      <c r="O132" s="46">
        <f>1-0.62</f>
        <v>0.38</v>
      </c>
      <c r="Q132" s="21">
        <f>N132*O132</f>
        <v>2.014</v>
      </c>
    </row>
    <row r="133" ht="12.75">
      <c r="A133" s="13"/>
    </row>
    <row r="134" spans="1:36" ht="12.75">
      <c r="A134" s="13" t="s">
        <v>146</v>
      </c>
      <c r="N134" s="46">
        <v>8.5</v>
      </c>
      <c r="O134" s="5">
        <v>0.71</v>
      </c>
      <c r="Q134" s="21">
        <f>N134*O134</f>
        <v>6.035</v>
      </c>
      <c r="AF134" s="47">
        <v>2500</v>
      </c>
      <c r="AG134" s="48">
        <v>8800</v>
      </c>
      <c r="AH134" s="49">
        <v>0.2840909090909091</v>
      </c>
      <c r="AI134" s="55"/>
      <c r="AJ134" s="55"/>
    </row>
    <row r="135" spans="1:64" ht="12.75">
      <c r="A135" s="13" t="s">
        <v>380</v>
      </c>
      <c r="B135" s="23"/>
      <c r="C135" s="36"/>
      <c r="D135" s="27"/>
      <c r="E135" s="27"/>
      <c r="F135" s="16"/>
      <c r="G135" s="96"/>
      <c r="H135" s="84"/>
      <c r="I135" s="20"/>
      <c r="J135" s="5"/>
      <c r="K135" s="5">
        <v>17.9</v>
      </c>
      <c r="L135" s="5">
        <v>33.2</v>
      </c>
      <c r="M135" s="5">
        <v>19.8</v>
      </c>
      <c r="N135" s="17">
        <v>3.95</v>
      </c>
      <c r="O135" s="17">
        <v>0.484</v>
      </c>
      <c r="P135" s="5">
        <v>27.5</v>
      </c>
      <c r="Q135" s="27">
        <f>N135*O135</f>
        <v>1.9118</v>
      </c>
      <c r="AB135" s="17">
        <f>LN(Q135/2)/((K135+BG135/2))</f>
        <v>-0.0015419478260656474</v>
      </c>
      <c r="AC135" s="17">
        <f>(LN(Q135/2))/AB135</f>
        <v>29.25</v>
      </c>
      <c r="AM135" s="17">
        <v>0.5</v>
      </c>
      <c r="AN135" s="17">
        <f>O135/AM135</f>
        <v>0.968</v>
      </c>
      <c r="BF135" s="17">
        <v>40.6</v>
      </c>
      <c r="BG135" s="21">
        <f>BF135-K135</f>
        <v>22.700000000000003</v>
      </c>
      <c r="BL135" s="21"/>
    </row>
    <row r="136" spans="1:64" ht="12.75">
      <c r="A136" s="13" t="s">
        <v>381</v>
      </c>
      <c r="B136" s="23"/>
      <c r="C136" s="36"/>
      <c r="D136" s="27"/>
      <c r="E136" s="27"/>
      <c r="F136" s="16"/>
      <c r="G136" s="96"/>
      <c r="H136" s="84"/>
      <c r="I136" s="20"/>
      <c r="J136" s="5"/>
      <c r="M136" s="5">
        <v>21.5</v>
      </c>
      <c r="O136" s="17"/>
      <c r="P136" s="5">
        <v>25</v>
      </c>
      <c r="Q136" s="27"/>
      <c r="AM136" s="17">
        <v>0.62</v>
      </c>
      <c r="BG136" s="21"/>
      <c r="BL136" s="21"/>
    </row>
    <row r="137" spans="1:64" ht="12.75">
      <c r="A137" s="13" t="s">
        <v>263</v>
      </c>
      <c r="B137" s="23"/>
      <c r="C137" s="36"/>
      <c r="D137" s="27"/>
      <c r="E137" s="27"/>
      <c r="F137" s="16"/>
      <c r="G137" s="96"/>
      <c r="H137" s="84"/>
      <c r="I137" s="20"/>
      <c r="J137" s="5"/>
      <c r="N137" s="5">
        <v>6.8</v>
      </c>
      <c r="Q137" s="27"/>
      <c r="BL137" s="21"/>
    </row>
    <row r="138" spans="1:61" ht="12.75">
      <c r="A138" s="13" t="s">
        <v>150</v>
      </c>
      <c r="F138" s="17">
        <v>49.5</v>
      </c>
      <c r="BI138" s="17">
        <v>23</v>
      </c>
    </row>
    <row r="139" spans="1:64" ht="12.75">
      <c r="A139" s="13" t="s">
        <v>151</v>
      </c>
      <c r="F139" s="17">
        <v>63.9</v>
      </c>
      <c r="BL139" s="21"/>
    </row>
    <row r="140" spans="1:63" ht="12.75">
      <c r="A140" s="13" t="s">
        <v>168</v>
      </c>
      <c r="BK140" s="17">
        <v>1.12</v>
      </c>
    </row>
    <row r="141" spans="1:59" ht="12.75">
      <c r="A141" s="13" t="s">
        <v>436</v>
      </c>
      <c r="I141" s="19"/>
      <c r="K141" s="5">
        <v>22.9</v>
      </c>
      <c r="N141" s="17">
        <v>5.9</v>
      </c>
      <c r="O141" s="5">
        <f>Q141/N141</f>
        <v>0.8135593220338982</v>
      </c>
      <c r="Q141" s="21">
        <v>4.8</v>
      </c>
      <c r="AB141" s="17">
        <f>LN(Q141/2)/((K141+BG141/2))</f>
        <v>0.030664404110469345</v>
      </c>
      <c r="AC141" s="17">
        <f>(LN(Q141/2))/AB141</f>
        <v>28.55</v>
      </c>
      <c r="BF141" s="17">
        <v>34.2</v>
      </c>
      <c r="BG141" s="21">
        <f>BF141-K141</f>
        <v>11.300000000000004</v>
      </c>
    </row>
    <row r="142" spans="1:60" ht="12.75">
      <c r="A142" s="17" t="s">
        <v>442</v>
      </c>
      <c r="B142" s="23">
        <f>(AY142-AT142)/7</f>
        <v>1.714285714285714</v>
      </c>
      <c r="F142" s="17">
        <v>52.1</v>
      </c>
      <c r="I142" s="19">
        <f>F143/F142</f>
        <v>1.1132437619961613</v>
      </c>
      <c r="K142" s="5">
        <v>18.6</v>
      </c>
      <c r="L142" s="5">
        <v>31.6</v>
      </c>
      <c r="M142" s="5">
        <v>33</v>
      </c>
      <c r="N142" s="17">
        <v>7</v>
      </c>
      <c r="O142" s="19"/>
      <c r="P142" s="5">
        <v>47</v>
      </c>
      <c r="Q142" s="27"/>
      <c r="R142" s="17" t="s">
        <v>478</v>
      </c>
      <c r="AB142" s="17">
        <v>0.021</v>
      </c>
      <c r="AL142" s="17">
        <f>(23.93+13.18)/2</f>
        <v>18.555</v>
      </c>
      <c r="AM142" s="17">
        <f>1-(0.4994+0.3345)/2</f>
        <v>0.58305</v>
      </c>
      <c r="AQ142" s="17">
        <v>7.8</v>
      </c>
      <c r="AR142" s="17">
        <f>AQ142/1.75</f>
        <v>4.457142857142857</v>
      </c>
      <c r="AT142" s="21">
        <v>11.9</v>
      </c>
      <c r="AU142" s="20">
        <f>AT142/F142</f>
        <v>0.22840690978886757</v>
      </c>
      <c r="AV142" s="21">
        <f>(AT142-AQ142)/3</f>
        <v>1.366666666666667</v>
      </c>
      <c r="AW142" s="17">
        <v>15.1</v>
      </c>
      <c r="AX142" s="17">
        <f>(AW142-AT142)/2</f>
        <v>1.5999999999999996</v>
      </c>
      <c r="AY142" s="17">
        <v>23.9</v>
      </c>
      <c r="BB142" s="17">
        <f>(AY142-AW142)/4</f>
        <v>2.1999999999999997</v>
      </c>
      <c r="BC142" s="30">
        <f>B142/((AW142+AY142)/2)^0.75</f>
        <v>0.18473842960085823</v>
      </c>
      <c r="BD142" s="30">
        <f>LN(AY142/AT142)/7</f>
        <v>0.09962000840285447</v>
      </c>
      <c r="BE142" s="30">
        <f>LN(AY142/AW142)/5</f>
        <v>0.09183674302331725</v>
      </c>
      <c r="BF142" s="17">
        <v>39</v>
      </c>
      <c r="BG142" s="21">
        <f>BF142-K142</f>
        <v>20.4</v>
      </c>
      <c r="BH142" s="20">
        <f>(N142-1)*(L142/12)</f>
        <v>15.8</v>
      </c>
    </row>
    <row r="143" spans="1:57" ht="12.75">
      <c r="A143" s="17" t="s">
        <v>443</v>
      </c>
      <c r="B143" s="23">
        <f>(AY143-AT143)/7</f>
        <v>1.7000000000000004</v>
      </c>
      <c r="F143" s="17">
        <v>58</v>
      </c>
      <c r="I143" s="19"/>
      <c r="M143" s="5">
        <v>35</v>
      </c>
      <c r="P143" s="5">
        <v>46</v>
      </c>
      <c r="AQ143" s="17">
        <v>7.9</v>
      </c>
      <c r="AR143" s="17">
        <f>AQ143/1.75</f>
        <v>4.514285714285714</v>
      </c>
      <c r="AT143" s="21">
        <v>12.2</v>
      </c>
      <c r="AU143" s="20">
        <f>AT143/F143</f>
        <v>0.21034482758620687</v>
      </c>
      <c r="AV143" s="21">
        <f>(AT143-AQ143)/3</f>
        <v>1.433333333333333</v>
      </c>
      <c r="AW143" s="17">
        <v>15.5</v>
      </c>
      <c r="AX143" s="17">
        <f>(AW143-AT143)/2</f>
        <v>1.6500000000000004</v>
      </c>
      <c r="AY143" s="17">
        <v>24.1</v>
      </c>
      <c r="BB143" s="17">
        <f>(AY143-AW143)/4</f>
        <v>2.1500000000000004</v>
      </c>
      <c r="BC143" s="30">
        <f>B143/((AW143+AY143)/2)^0.75</f>
        <v>0.18111316860014165</v>
      </c>
      <c r="BD143" s="30">
        <f>LN(AY143/AT143)/7</f>
        <v>0.09725369839391408</v>
      </c>
      <c r="BE143" s="30">
        <f>LN(AY143/AW143)/5</f>
        <v>0.08827436331428169</v>
      </c>
    </row>
    <row r="144" spans="1:10" ht="12.75">
      <c r="A144" s="13" t="s">
        <v>455</v>
      </c>
      <c r="B144" s="27">
        <v>2.2</v>
      </c>
      <c r="C144" s="5"/>
      <c r="D144" s="5"/>
      <c r="E144" s="5"/>
      <c r="I144" s="19"/>
      <c r="J144" s="17">
        <v>14</v>
      </c>
    </row>
    <row r="145" spans="1:61" ht="12.75">
      <c r="A145" s="13" t="s">
        <v>456</v>
      </c>
      <c r="B145" s="27">
        <v>2.5</v>
      </c>
      <c r="C145" s="5"/>
      <c r="D145" s="5"/>
      <c r="E145" s="5"/>
      <c r="I145" s="19"/>
      <c r="BI145" s="17">
        <v>10</v>
      </c>
    </row>
    <row r="146" spans="1:57" ht="12.75">
      <c r="A146" s="13" t="s">
        <v>483</v>
      </c>
      <c r="B146" s="23">
        <f>(AY146-AT146)/7</f>
        <v>2.392857142857143</v>
      </c>
      <c r="C146" s="5">
        <v>10.5</v>
      </c>
      <c r="D146" s="5">
        <v>12.5</v>
      </c>
      <c r="E146" s="5">
        <v>14.5</v>
      </c>
      <c r="F146" s="17">
        <v>64.2</v>
      </c>
      <c r="I146" s="19">
        <f>F147/F146</f>
        <v>1.1884735202492211</v>
      </c>
      <c r="J146" s="5">
        <v>12.8</v>
      </c>
      <c r="K146" s="5">
        <v>17.8</v>
      </c>
      <c r="L146" s="5">
        <v>28.4</v>
      </c>
      <c r="N146" s="17">
        <v>6.2</v>
      </c>
      <c r="O146" s="43">
        <v>0.75</v>
      </c>
      <c r="S146" s="17">
        <f>2.538-2.228</f>
        <v>0.3099999999999996</v>
      </c>
      <c r="AP146" s="17">
        <v>3.28</v>
      </c>
      <c r="AQ146" s="17">
        <v>8.6</v>
      </c>
      <c r="AR146" s="17">
        <f>AQ146/1.75</f>
        <v>4.914285714285714</v>
      </c>
      <c r="AT146" s="21">
        <v>12.65</v>
      </c>
      <c r="AU146" s="20">
        <f>AT146/F146</f>
        <v>0.1970404984423676</v>
      </c>
      <c r="AV146" s="21">
        <f>(AT146-AQ146)/3</f>
        <v>1.3500000000000003</v>
      </c>
      <c r="AW146" s="17">
        <v>17.1</v>
      </c>
      <c r="AX146" s="17">
        <f>(AW146-AT146)/2</f>
        <v>2.2250000000000005</v>
      </c>
      <c r="AY146" s="17">
        <v>29.4</v>
      </c>
      <c r="AZ146" s="17">
        <f>AY146/F146</f>
        <v>0.4579439252336448</v>
      </c>
      <c r="BB146" s="17">
        <f>(AY146-AW146)/4</f>
        <v>3.0749999999999993</v>
      </c>
      <c r="BC146" s="30">
        <f>B146/((AW146+AY146)/2)^0.75</f>
        <v>0.22599537606483638</v>
      </c>
      <c r="BD146" s="30">
        <f>LN(AY146/AT146)/7</f>
        <v>0.12047677988158667</v>
      </c>
      <c r="BE146" s="30">
        <f>LN(AY146/AW146)/5</f>
        <v>0.10838324216720432</v>
      </c>
    </row>
    <row r="147" spans="1:61" ht="12.75">
      <c r="A147" s="13" t="s">
        <v>484</v>
      </c>
      <c r="B147" s="23">
        <f>(AY147-AT147)/7</f>
        <v>2.3999999999999995</v>
      </c>
      <c r="C147" s="5">
        <v>11.5</v>
      </c>
      <c r="D147" s="5">
        <v>12.5</v>
      </c>
      <c r="E147" s="5">
        <v>15.5</v>
      </c>
      <c r="F147" s="17">
        <v>76.3</v>
      </c>
      <c r="I147" s="19"/>
      <c r="J147" s="5"/>
      <c r="S147" s="17">
        <f>2.403-2.143</f>
        <v>0.26000000000000023</v>
      </c>
      <c r="AP147" s="17">
        <v>3.28</v>
      </c>
      <c r="AQ147" s="17">
        <v>8.5</v>
      </c>
      <c r="AR147" s="17">
        <f>AQ147/1.75</f>
        <v>4.857142857142857</v>
      </c>
      <c r="AT147" s="21">
        <v>13.9</v>
      </c>
      <c r="AU147" s="20">
        <f>AT147/F147</f>
        <v>0.18217562254259503</v>
      </c>
      <c r="AV147" s="21">
        <f>(AT147-AQ147)/3</f>
        <v>1.8</v>
      </c>
      <c r="AW147" s="17">
        <v>17.7</v>
      </c>
      <c r="AX147" s="17">
        <f>(AW147-AT147)/2</f>
        <v>1.8999999999999995</v>
      </c>
      <c r="AY147" s="17">
        <v>30.7</v>
      </c>
      <c r="BA147" s="17">
        <v>0.40235910878112713</v>
      </c>
      <c r="BB147" s="17">
        <f>(AY147-AW147)/4</f>
        <v>3.25</v>
      </c>
      <c r="BC147" s="30">
        <f>B147/((AW147+AY147)/2)^0.75</f>
        <v>0.21996304202921965</v>
      </c>
      <c r="BD147" s="30">
        <f>LN(AY147/AT147)/7</f>
        <v>0.1131962592080722</v>
      </c>
      <c r="BE147" s="30">
        <f>LN(AY147/AW147)/5</f>
        <v>0.11013960300267363</v>
      </c>
      <c r="BI147" s="17">
        <v>0</v>
      </c>
    </row>
    <row r="148" spans="1:57" ht="12.75">
      <c r="A148" s="13" t="s">
        <v>487</v>
      </c>
      <c r="B148" s="23">
        <f>(AY148-AT148)/7</f>
        <v>2.4285714285714284</v>
      </c>
      <c r="C148" s="5">
        <v>10</v>
      </c>
      <c r="D148" s="5">
        <v>11.5</v>
      </c>
      <c r="E148" s="5">
        <v>13</v>
      </c>
      <c r="F148" s="17">
        <v>62.3</v>
      </c>
      <c r="I148" s="19">
        <f>F149/F148</f>
        <v>1.186195826645265</v>
      </c>
      <c r="J148" s="5">
        <v>12.9</v>
      </c>
      <c r="K148" s="5">
        <v>16.2</v>
      </c>
      <c r="L148" s="5">
        <v>21.4</v>
      </c>
      <c r="N148" s="17">
        <v>7.2</v>
      </c>
      <c r="S148" s="17">
        <f>2.184-1.874</f>
        <v>0.31000000000000005</v>
      </c>
      <c r="AP148" s="17">
        <v>3.15</v>
      </c>
      <c r="AQ148" s="17">
        <v>8.59</v>
      </c>
      <c r="AR148" s="17">
        <f>AQ148/1.75</f>
        <v>4.908571428571428</v>
      </c>
      <c r="AT148" s="21">
        <v>13.2</v>
      </c>
      <c r="AU148" s="20">
        <f>AT148/F148</f>
        <v>0.21187800963081863</v>
      </c>
      <c r="AV148" s="21">
        <f>(AT148-AQ148)/3</f>
        <v>1.5366666666666664</v>
      </c>
      <c r="AW148" s="17">
        <v>17.8</v>
      </c>
      <c r="AX148" s="17">
        <f>(AW148-AT148)/2</f>
        <v>2.3000000000000007</v>
      </c>
      <c r="AY148" s="17">
        <v>30.2</v>
      </c>
      <c r="AZ148" s="17">
        <f>AY148/F148</f>
        <v>0.48475120385232745</v>
      </c>
      <c r="BB148" s="17">
        <f>(AY148-AW148)/4</f>
        <v>3.0999999999999996</v>
      </c>
      <c r="BC148" s="30">
        <f>B148/((AW148+AY148)/2)^0.75</f>
        <v>0.2239713408917317</v>
      </c>
      <c r="BD148" s="30">
        <f>LN(AY148/AT148)/7</f>
        <v>0.11823215639835698</v>
      </c>
      <c r="BE148" s="30">
        <f>LN(AY148/AW148)/5</f>
        <v>0.10572869341655688</v>
      </c>
    </row>
    <row r="149" spans="1:61" ht="12.75">
      <c r="A149" s="13" t="s">
        <v>492</v>
      </c>
      <c r="B149" s="23">
        <f>(AY149-AT149)/7</f>
        <v>1.9514285714285713</v>
      </c>
      <c r="C149" s="5">
        <v>11.5</v>
      </c>
      <c r="D149" s="5">
        <v>13</v>
      </c>
      <c r="E149" s="5">
        <v>15</v>
      </c>
      <c r="F149" s="17">
        <v>73.9</v>
      </c>
      <c r="I149" s="19"/>
      <c r="S149" s="17">
        <f>1.893-1.655</f>
        <v>0.238</v>
      </c>
      <c r="AP149" s="17">
        <v>3.15</v>
      </c>
      <c r="AQ149" s="17">
        <v>9.9</v>
      </c>
      <c r="AR149" s="17">
        <f>AQ149/1.75</f>
        <v>5.6571428571428575</v>
      </c>
      <c r="AT149" s="21">
        <v>13.06</v>
      </c>
      <c r="AU149" s="20">
        <f>AT149/F149</f>
        <v>0.1767253044654939</v>
      </c>
      <c r="AV149" s="21">
        <f>(AT149-AQ149)/3</f>
        <v>1.0533333333333335</v>
      </c>
      <c r="AW149" s="17">
        <v>17.75</v>
      </c>
      <c r="AX149" s="17">
        <f>(AW149-AT149)/2</f>
        <v>2.3449999999999998</v>
      </c>
      <c r="AY149" s="17">
        <v>26.72</v>
      </c>
      <c r="BA149" s="17">
        <v>0.3615696887686062</v>
      </c>
      <c r="BB149" s="17">
        <f>(AY149-AW149)/4</f>
        <v>2.2424999999999997</v>
      </c>
      <c r="BC149" s="30">
        <f>B149/((AW149+AY149)/2)^0.75</f>
        <v>0.19057889695996685</v>
      </c>
      <c r="BD149" s="30">
        <f>LN(AY149/AT149)/7</f>
        <v>0.10226546068859428</v>
      </c>
      <c r="BE149" s="30">
        <f>LN(AY149/AW149)/5</f>
        <v>0.08180536654940403</v>
      </c>
      <c r="BI149" s="17">
        <v>0</v>
      </c>
    </row>
    <row r="150" spans="1:9" ht="12.75">
      <c r="A150" s="13" t="s">
        <v>558</v>
      </c>
      <c r="C150" s="38"/>
      <c r="D150" s="38"/>
      <c r="E150" s="38"/>
      <c r="F150" s="48">
        <v>34</v>
      </c>
      <c r="G150" s="100"/>
      <c r="H150" s="86"/>
      <c r="I150" s="19">
        <f>F151/F150</f>
        <v>1.2058823529411764</v>
      </c>
    </row>
    <row r="151" spans="1:61" ht="12.75">
      <c r="A151" s="13" t="s">
        <v>559</v>
      </c>
      <c r="F151" s="56">
        <v>41</v>
      </c>
      <c r="G151" s="101"/>
      <c r="H151" s="87"/>
      <c r="BI151" s="17">
        <v>2</v>
      </c>
    </row>
    <row r="152" spans="1:62" ht="12.75">
      <c r="A152" s="13" t="s">
        <v>561</v>
      </c>
      <c r="D152" s="49"/>
      <c r="E152" s="49"/>
      <c r="F152" s="48">
        <v>46.1</v>
      </c>
      <c r="G152" s="100"/>
      <c r="H152" s="86"/>
      <c r="I152" s="19">
        <f>F153/F152</f>
        <v>1.1995661605206074</v>
      </c>
      <c r="BJ152" s="17">
        <v>14</v>
      </c>
    </row>
    <row r="153" spans="1:62" ht="12.75">
      <c r="A153" s="13" t="s">
        <v>560</v>
      </c>
      <c r="F153" s="49">
        <v>55.3</v>
      </c>
      <c r="G153" s="98"/>
      <c r="H153" s="88"/>
      <c r="BI153" s="17">
        <v>45</v>
      </c>
      <c r="BJ153" s="17">
        <v>33</v>
      </c>
    </row>
    <row r="154" spans="1:9" ht="12.75">
      <c r="A154" s="49" t="s">
        <v>562</v>
      </c>
      <c r="D154" s="49"/>
      <c r="E154" s="49"/>
      <c r="F154" s="48">
        <v>43.1</v>
      </c>
      <c r="G154" s="100"/>
      <c r="H154" s="86"/>
      <c r="I154" s="19">
        <f>F155/F154</f>
        <v>1.3735498839907192</v>
      </c>
    </row>
    <row r="155" spans="1:61" ht="12.75">
      <c r="A155" s="49" t="s">
        <v>563</v>
      </c>
      <c r="F155" s="49">
        <v>59.2</v>
      </c>
      <c r="G155" s="98"/>
      <c r="H155" s="88"/>
      <c r="BI155" s="17">
        <v>45</v>
      </c>
    </row>
    <row r="156" spans="1:62" ht="12.75">
      <c r="A156" s="49" t="s">
        <v>564</v>
      </c>
      <c r="E156" s="49"/>
      <c r="F156" s="2">
        <v>47.1</v>
      </c>
      <c r="G156" s="102"/>
      <c r="H156" s="89"/>
      <c r="I156" s="19">
        <f>F157/F156</f>
        <v>1.1740976645435244</v>
      </c>
      <c r="BJ156" s="17">
        <v>15</v>
      </c>
    </row>
    <row r="157" spans="1:62" ht="12.75">
      <c r="A157" s="49" t="s">
        <v>565</v>
      </c>
      <c r="F157" s="49">
        <v>55.3</v>
      </c>
      <c r="G157" s="98"/>
      <c r="H157" s="88"/>
      <c r="BI157" s="17">
        <v>7</v>
      </c>
      <c r="BJ157" s="17">
        <v>18</v>
      </c>
    </row>
    <row r="158" spans="1:62" ht="12.75">
      <c r="A158" s="49" t="s">
        <v>566</v>
      </c>
      <c r="E158" s="49"/>
      <c r="F158" s="48">
        <v>56.5</v>
      </c>
      <c r="G158" s="100"/>
      <c r="H158" s="86"/>
      <c r="I158" s="19">
        <f>F159/F158</f>
        <v>1.1398230088495576</v>
      </c>
      <c r="BJ158" s="17">
        <v>15</v>
      </c>
    </row>
    <row r="159" spans="1:62" ht="12.75">
      <c r="A159" s="49" t="s">
        <v>567</v>
      </c>
      <c r="F159" s="49">
        <v>64.4</v>
      </c>
      <c r="G159" s="98"/>
      <c r="H159" s="88"/>
      <c r="BI159" s="2">
        <v>12</v>
      </c>
      <c r="BJ159" s="2">
        <v>23</v>
      </c>
    </row>
    <row r="160" spans="1:62" ht="12.75">
      <c r="A160" s="49" t="s">
        <v>568</v>
      </c>
      <c r="E160" s="49"/>
      <c r="F160" s="48">
        <v>61.22</v>
      </c>
      <c r="G160" s="100"/>
      <c r="H160" s="86"/>
      <c r="I160" s="19">
        <f>F161/F160</f>
        <v>1.138516824567135</v>
      </c>
      <c r="BJ160" s="17">
        <v>14.5</v>
      </c>
    </row>
    <row r="161" spans="1:62" ht="12.75">
      <c r="A161" s="49" t="s">
        <v>569</v>
      </c>
      <c r="F161" s="49">
        <v>69.7</v>
      </c>
      <c r="G161" s="98"/>
      <c r="H161" s="88"/>
      <c r="BI161" s="49">
        <v>12</v>
      </c>
      <c r="BJ161" s="49">
        <v>17</v>
      </c>
    </row>
    <row r="162" spans="1:62" ht="12.75">
      <c r="A162" s="49" t="s">
        <v>570</v>
      </c>
      <c r="E162" s="2"/>
      <c r="F162" s="48">
        <v>63</v>
      </c>
      <c r="G162" s="100"/>
      <c r="H162" s="86"/>
      <c r="I162" s="19">
        <f>F163/F162</f>
        <v>1.126984126984127</v>
      </c>
      <c r="BJ162" s="17">
        <v>14.5</v>
      </c>
    </row>
    <row r="163" spans="1:62" ht="12.75">
      <c r="A163" s="49" t="s">
        <v>571</v>
      </c>
      <c r="F163" s="2">
        <v>71</v>
      </c>
      <c r="G163" s="102"/>
      <c r="H163" s="89"/>
      <c r="BI163" s="49">
        <v>4.5</v>
      </c>
      <c r="BJ163" s="49">
        <v>17</v>
      </c>
    </row>
    <row r="164" spans="1:52" ht="12.75">
      <c r="A164" s="49" t="s">
        <v>646</v>
      </c>
      <c r="B164" s="23">
        <f>(AY164-AT164)/7</f>
        <v>2.242857142857143</v>
      </c>
      <c r="F164" s="60">
        <v>51</v>
      </c>
      <c r="G164" s="103"/>
      <c r="H164" s="90"/>
      <c r="I164" s="19">
        <f>F165/F164</f>
        <v>1.219607843137255</v>
      </c>
      <c r="O164" s="19">
        <v>0.6</v>
      </c>
      <c r="P164" s="5">
        <v>39.7</v>
      </c>
      <c r="S164" s="17">
        <f>2.158-1.765</f>
        <v>0.393</v>
      </c>
      <c r="AH164" s="17">
        <v>0.3</v>
      </c>
      <c r="AT164" s="21">
        <v>10.3</v>
      </c>
      <c r="AU164" s="20">
        <f>AT164/F164</f>
        <v>0.2019607843137255</v>
      </c>
      <c r="AY164" s="17">
        <v>26</v>
      </c>
      <c r="AZ164" s="17">
        <f>AY164/F164</f>
        <v>0.5098039215686274</v>
      </c>
    </row>
    <row r="165" spans="1:53" ht="12.75">
      <c r="A165" s="49" t="s">
        <v>647</v>
      </c>
      <c r="B165" s="23">
        <f>(AY165-AT165)/7</f>
        <v>1.7642857142857142</v>
      </c>
      <c r="F165" s="60">
        <v>62.2</v>
      </c>
      <c r="G165" s="103"/>
      <c r="H165" s="90"/>
      <c r="S165" s="17">
        <f>2.094-1.647</f>
        <v>0.44699999999999984</v>
      </c>
      <c r="AT165" s="21">
        <v>11.65</v>
      </c>
      <c r="AU165" s="20">
        <f>AT165/F165</f>
        <v>0.1872990353697749</v>
      </c>
      <c r="AY165" s="17">
        <v>24</v>
      </c>
      <c r="BA165" s="17">
        <v>0.4304207119741101</v>
      </c>
    </row>
    <row r="166" spans="1:62" ht="12.75">
      <c r="A166" s="49" t="s">
        <v>691</v>
      </c>
      <c r="L166" s="5">
        <f>4.5*12</f>
        <v>54</v>
      </c>
      <c r="N166" s="17">
        <v>6.5</v>
      </c>
      <c r="BI166" s="17">
        <v>9</v>
      </c>
      <c r="BJ166" s="17">
        <v>15</v>
      </c>
    </row>
    <row r="167" ht="12.75">
      <c r="A167" s="49" t="s">
        <v>603</v>
      </c>
    </row>
    <row r="168" ht="12.75">
      <c r="A168" s="49" t="s">
        <v>604</v>
      </c>
    </row>
    <row r="169" spans="1:17" ht="12.75">
      <c r="A169" s="49" t="s">
        <v>606</v>
      </c>
      <c r="L169" s="5">
        <f>2.5*12</f>
        <v>30</v>
      </c>
      <c r="N169" s="17">
        <v>5.54</v>
      </c>
      <c r="O169" s="5">
        <v>0.59</v>
      </c>
      <c r="Q169" s="21">
        <f>N169*O169</f>
        <v>3.2685999999999997</v>
      </c>
    </row>
    <row r="170" ht="12.75">
      <c r="A170" s="49" t="s">
        <v>605</v>
      </c>
    </row>
    <row r="171" spans="1:17" ht="12.75">
      <c r="A171" s="49" t="s">
        <v>607</v>
      </c>
      <c r="N171" s="17">
        <v>5.32</v>
      </c>
      <c r="O171" s="5">
        <v>0.69</v>
      </c>
      <c r="Q171" s="21">
        <f>N171*O171</f>
        <v>3.6708</v>
      </c>
    </row>
    <row r="172" ht="12.75">
      <c r="A172" s="49" t="s">
        <v>605</v>
      </c>
    </row>
    <row r="173" spans="1:52" ht="12.75">
      <c r="A173" s="49" t="s">
        <v>617</v>
      </c>
      <c r="B173" s="23">
        <f>(AY173-AT173)/7</f>
        <v>1.3571428571428572</v>
      </c>
      <c r="C173" s="17">
        <v>10</v>
      </c>
      <c r="D173" s="17">
        <v>13</v>
      </c>
      <c r="E173" s="17">
        <v>15</v>
      </c>
      <c r="F173" s="17">
        <v>51.3</v>
      </c>
      <c r="I173" s="19">
        <f>F174/F173</f>
        <v>1.1754385964912282</v>
      </c>
      <c r="J173" s="5">
        <v>15</v>
      </c>
      <c r="K173" s="5">
        <v>19.5</v>
      </c>
      <c r="L173" s="5">
        <f>2.2*12</f>
        <v>26.400000000000002</v>
      </c>
      <c r="N173" s="17">
        <v>7</v>
      </c>
      <c r="S173" s="17">
        <f>1.337-0.962</f>
        <v>0.375</v>
      </c>
      <c r="AT173" s="21">
        <v>11.5</v>
      </c>
      <c r="AY173" s="17">
        <v>21</v>
      </c>
      <c r="AZ173" s="17">
        <f>AY173/F173</f>
        <v>0.40935672514619886</v>
      </c>
    </row>
    <row r="174" spans="1:53" ht="12.75">
      <c r="A174" s="49" t="s">
        <v>618</v>
      </c>
      <c r="B174" s="23">
        <f>(AY174-AT174)/7</f>
        <v>1.6500000000000001</v>
      </c>
      <c r="C174" s="17">
        <v>10</v>
      </c>
      <c r="D174" s="17">
        <v>12</v>
      </c>
      <c r="E174" s="17">
        <v>14</v>
      </c>
      <c r="F174" s="17">
        <v>60.3</v>
      </c>
      <c r="S174" s="17">
        <f>1.724-1.496</f>
        <v>0.22799999999999998</v>
      </c>
      <c r="AT174" s="21">
        <v>10.8</v>
      </c>
      <c r="AY174" s="17">
        <v>22.35</v>
      </c>
      <c r="BA174" s="17">
        <v>0.37064676616915426</v>
      </c>
    </row>
    <row r="175" spans="1:62" ht="12.75">
      <c r="A175" s="49" t="s">
        <v>643</v>
      </c>
      <c r="B175" s="23">
        <f>(AY175-AT175)/7</f>
        <v>2.2857142857142856</v>
      </c>
      <c r="F175" s="17">
        <v>45.6</v>
      </c>
      <c r="I175" s="19">
        <f>F176/F175</f>
        <v>1.2083333333333333</v>
      </c>
      <c r="AH175" s="17">
        <v>0.2</v>
      </c>
      <c r="AT175" s="21">
        <v>12</v>
      </c>
      <c r="AY175" s="17">
        <v>28</v>
      </c>
      <c r="BJ175" s="17">
        <v>13</v>
      </c>
    </row>
    <row r="176" spans="1:62" ht="12.75">
      <c r="A176" s="49" t="s">
        <v>642</v>
      </c>
      <c r="B176" s="23">
        <f>(AY176-AT176)/7</f>
        <v>2.2857142857142856</v>
      </c>
      <c r="F176" s="17">
        <v>55.1</v>
      </c>
      <c r="AT176" s="21">
        <v>12</v>
      </c>
      <c r="AY176" s="17">
        <v>28</v>
      </c>
      <c r="BI176" s="17">
        <v>23</v>
      </c>
      <c r="BJ176" s="17">
        <v>15</v>
      </c>
    </row>
    <row r="177" ht="12.75">
      <c r="A177" s="49" t="s">
        <v>644</v>
      </c>
    </row>
    <row r="178" ht="12.75">
      <c r="A178" s="49" t="s">
        <v>645</v>
      </c>
    </row>
    <row r="179" spans="1:62" ht="12.75">
      <c r="A179" s="49" t="s">
        <v>660</v>
      </c>
      <c r="B179" s="27">
        <v>1.2</v>
      </c>
      <c r="F179" s="17">
        <f>81.7/2.2</f>
        <v>37.13636363636363</v>
      </c>
      <c r="I179" s="19">
        <f>F180/F179</f>
        <v>1.1909424724602202</v>
      </c>
      <c r="BJ179" s="17">
        <v>16</v>
      </c>
    </row>
    <row r="180" spans="1:62" ht="12.75">
      <c r="A180" s="49" t="s">
        <v>661</v>
      </c>
      <c r="B180" s="27">
        <v>1.9</v>
      </c>
      <c r="F180" s="17">
        <f>97.3/2.2</f>
        <v>44.22727272727272</v>
      </c>
      <c r="BI180" s="17">
        <v>6</v>
      </c>
      <c r="BJ180" s="17">
        <v>27</v>
      </c>
    </row>
    <row r="181" spans="1:51" ht="12.75">
      <c r="A181" s="49" t="s">
        <v>679</v>
      </c>
      <c r="B181" s="23">
        <f>(AY181-AT181)/7</f>
        <v>2.0385714285714283</v>
      </c>
      <c r="F181" s="17">
        <v>40.786</v>
      </c>
      <c r="I181" s="19">
        <f>F182/F181</f>
        <v>1.1886431618692688</v>
      </c>
      <c r="O181" s="5">
        <f>319/(319+75)</f>
        <v>0.8096446700507615</v>
      </c>
      <c r="R181" s="17" t="s">
        <v>681</v>
      </c>
      <c r="AT181" s="21">
        <v>11.13</v>
      </c>
      <c r="AY181" s="17">
        <v>25.4</v>
      </c>
    </row>
    <row r="182" spans="1:51" ht="12.75">
      <c r="A182" s="49" t="s">
        <v>680</v>
      </c>
      <c r="B182" s="23">
        <f>(AY182-AT182)/7</f>
        <v>1.5628571428571427</v>
      </c>
      <c r="F182" s="17">
        <v>48.48</v>
      </c>
      <c r="AT182" s="21">
        <v>11.15</v>
      </c>
      <c r="AY182" s="17">
        <v>22.09</v>
      </c>
    </row>
    <row r="183" spans="1:51" ht="12.75">
      <c r="A183" s="49" t="s">
        <v>682</v>
      </c>
      <c r="B183" s="23">
        <f>(AY183-AT183)/7</f>
        <v>2.187142857142857</v>
      </c>
      <c r="F183" s="17">
        <f>(49.39+46.18+46.91+48.54)/4</f>
        <v>47.754999999999995</v>
      </c>
      <c r="I183" s="19">
        <f>F184/F183</f>
        <v>1.2735839179143547</v>
      </c>
      <c r="AT183" s="21">
        <f>(11.8+11.46)/2</f>
        <v>11.63</v>
      </c>
      <c r="AY183" s="17">
        <f>(26.58+27.3)/2</f>
        <v>26.939999999999998</v>
      </c>
    </row>
    <row r="184" spans="1:51" ht="12.75">
      <c r="A184" s="49" t="s">
        <v>683</v>
      </c>
      <c r="B184" s="23">
        <f>(AY184-AT184)/7</f>
        <v>1.8385714285714287</v>
      </c>
      <c r="F184" s="17">
        <f>(61.88+60.29+61.65+59.46)/4</f>
        <v>60.82</v>
      </c>
      <c r="AT184" s="21">
        <v>12.98</v>
      </c>
      <c r="AY184" s="17">
        <f>(27.2+24.5)/2</f>
        <v>25.85</v>
      </c>
    </row>
    <row r="185" ht="12.75">
      <c r="A185" s="49" t="s">
        <v>684</v>
      </c>
    </row>
    <row r="186" spans="1:62" ht="12.75">
      <c r="A186" s="49" t="s">
        <v>685</v>
      </c>
      <c r="BJ186" s="17">
        <v>16</v>
      </c>
    </row>
    <row r="187" spans="1:62" ht="12.75">
      <c r="A187" s="49" t="s">
        <v>686</v>
      </c>
      <c r="BI187" s="17">
        <v>6</v>
      </c>
      <c r="BJ187" s="17">
        <v>18</v>
      </c>
    </row>
    <row r="188" spans="1:62" ht="12.75">
      <c r="A188" s="49" t="s">
        <v>690</v>
      </c>
      <c r="BI188" s="17">
        <v>0</v>
      </c>
      <c r="BJ188" s="17">
        <v>20</v>
      </c>
    </row>
    <row r="189" spans="1:62" ht="12.75">
      <c r="A189" s="49" t="s">
        <v>693</v>
      </c>
      <c r="BI189" s="17">
        <v>0</v>
      </c>
      <c r="BJ189" s="17">
        <v>15.5</v>
      </c>
    </row>
    <row r="190" spans="1:62" ht="12.75">
      <c r="A190" s="49" t="s">
        <v>695</v>
      </c>
      <c r="O190" s="19"/>
      <c r="BI190" s="17">
        <v>5.3</v>
      </c>
      <c r="BJ190" s="17">
        <v>16</v>
      </c>
    </row>
    <row r="191" spans="1:62" ht="12.75">
      <c r="A191" s="49" t="s">
        <v>696</v>
      </c>
      <c r="BI191" s="17">
        <v>3</v>
      </c>
      <c r="BJ191" s="17">
        <v>23</v>
      </c>
    </row>
    <row r="192" spans="1:62" ht="12.75">
      <c r="A192" s="49" t="s">
        <v>697</v>
      </c>
      <c r="BJ192" s="17">
        <v>12</v>
      </c>
    </row>
    <row r="193" spans="1:62" ht="12.75">
      <c r="A193" s="49" t="s">
        <v>698</v>
      </c>
      <c r="BI193" s="17">
        <v>16</v>
      </c>
      <c r="BJ193" s="17">
        <v>17.5</v>
      </c>
    </row>
    <row r="194" spans="1:62" ht="12.75">
      <c r="A194" s="49" t="s">
        <v>699</v>
      </c>
      <c r="BI194" s="17">
        <v>25</v>
      </c>
      <c r="BJ194" s="17">
        <v>16</v>
      </c>
    </row>
    <row r="195" spans="1:62" ht="12.75">
      <c r="A195" s="49" t="s">
        <v>700</v>
      </c>
      <c r="BI195" s="17">
        <v>28</v>
      </c>
      <c r="BJ195" s="17">
        <v>15</v>
      </c>
    </row>
    <row r="196" spans="1:62" ht="12.75">
      <c r="A196" s="49" t="s">
        <v>701</v>
      </c>
      <c r="BI196" s="17">
        <v>17</v>
      </c>
      <c r="BJ196" s="17">
        <v>14.5</v>
      </c>
    </row>
    <row r="197" spans="1:62" ht="12.75">
      <c r="A197" s="49" t="s">
        <v>702</v>
      </c>
      <c r="BI197" s="17">
        <v>32</v>
      </c>
      <c r="BJ197" s="17">
        <v>19</v>
      </c>
    </row>
    <row r="198" spans="1:62" ht="12.75">
      <c r="A198" s="49" t="s">
        <v>703</v>
      </c>
      <c r="BI198" s="17">
        <v>4</v>
      </c>
      <c r="BJ198" s="17">
        <v>20</v>
      </c>
    </row>
    <row r="199" spans="1:62" ht="12.75">
      <c r="A199" s="49" t="s">
        <v>704</v>
      </c>
      <c r="BI199" s="17">
        <v>0.5</v>
      </c>
      <c r="BJ199" s="17">
        <v>23</v>
      </c>
    </row>
    <row r="200" spans="1:62" ht="12.75">
      <c r="A200" s="49" t="s">
        <v>705</v>
      </c>
      <c r="BI200" s="17">
        <v>4</v>
      </c>
      <c r="BJ200" s="17">
        <v>19</v>
      </c>
    </row>
    <row r="201" spans="1:62" ht="12.75">
      <c r="A201" s="49" t="s">
        <v>706</v>
      </c>
      <c r="BI201" s="17">
        <v>3</v>
      </c>
      <c r="BJ201" s="17">
        <v>18</v>
      </c>
    </row>
    <row r="202" spans="1:14" ht="12.75">
      <c r="A202" s="49" t="s">
        <v>716</v>
      </c>
      <c r="F202" s="17" t="s">
        <v>717</v>
      </c>
      <c r="L202" s="5">
        <v>28</v>
      </c>
      <c r="N202" s="17">
        <v>6.8</v>
      </c>
    </row>
  </sheetData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4"/>
  <sheetViews>
    <sheetView workbookViewId="0" topLeftCell="A2">
      <pane ySplit="1020" topLeftCell="BM3" activePane="bottomLeft" state="split"/>
      <selection pane="topLeft" activeCell="G2" sqref="G1:G16384"/>
      <selection pane="bottomLeft" activeCell="G26" sqref="G26"/>
    </sheetView>
  </sheetViews>
  <sheetFormatPr defaultColWidth="9.140625" defaultRowHeight="12.75"/>
  <cols>
    <col min="1" max="1" width="20.8515625" style="17" customWidth="1"/>
    <col min="2" max="2" width="11.7109375" style="17" bestFit="1" customWidth="1"/>
    <col min="3" max="3" width="8.00390625" style="17" customWidth="1"/>
    <col min="4" max="4" width="7.8515625" style="17" customWidth="1"/>
    <col min="5" max="5" width="11.7109375" style="17" bestFit="1" customWidth="1"/>
    <col min="6" max="6" width="10.7109375" style="5" bestFit="1" customWidth="1"/>
    <col min="7" max="7" width="10.7109375" style="92" customWidth="1"/>
    <col min="8" max="8" width="10.7109375" style="16" customWidth="1"/>
    <col min="9" max="9" width="10.57421875" style="17" bestFit="1" customWidth="1"/>
    <col min="10" max="10" width="9.140625" style="17" customWidth="1"/>
    <col min="11" max="12" width="9.140625" style="20" customWidth="1"/>
    <col min="13" max="13" width="9.140625" style="17" customWidth="1"/>
    <col min="14" max="14" width="9.140625" style="21" customWidth="1"/>
    <col min="15" max="17" width="9.140625" style="17" customWidth="1"/>
    <col min="18" max="18" width="9.140625" style="30" customWidth="1"/>
    <col min="19" max="16384" width="9.140625" style="17" customWidth="1"/>
  </cols>
  <sheetData>
    <row r="1" spans="1:20" ht="12.75">
      <c r="A1" s="33"/>
      <c r="B1" s="5" t="s">
        <v>129</v>
      </c>
      <c r="C1" s="5" t="s">
        <v>12</v>
      </c>
      <c r="D1" s="5" t="s">
        <v>15</v>
      </c>
      <c r="E1" s="5" t="s">
        <v>17</v>
      </c>
      <c r="F1" s="5" t="s">
        <v>19</v>
      </c>
      <c r="I1" s="5" t="s">
        <v>175</v>
      </c>
      <c r="J1" s="5" t="s">
        <v>199</v>
      </c>
      <c r="K1" s="19" t="s">
        <v>625</v>
      </c>
      <c r="L1" s="19" t="s">
        <v>572</v>
      </c>
      <c r="M1" s="5" t="s">
        <v>277</v>
      </c>
      <c r="N1" s="27"/>
      <c r="R1" s="30" t="s">
        <v>286</v>
      </c>
      <c r="T1" s="17" t="s">
        <v>718</v>
      </c>
    </row>
    <row r="2" spans="2:20" ht="12.75">
      <c r="B2" s="5" t="s">
        <v>55</v>
      </c>
      <c r="C2" s="5" t="s">
        <v>13</v>
      </c>
      <c r="D2" s="5" t="s">
        <v>16</v>
      </c>
      <c r="E2" s="5" t="s">
        <v>18</v>
      </c>
      <c r="F2" s="5" t="s">
        <v>202</v>
      </c>
      <c r="I2" s="5" t="s">
        <v>125</v>
      </c>
      <c r="J2" s="5" t="s">
        <v>200</v>
      </c>
      <c r="K2" s="19" t="s">
        <v>628</v>
      </c>
      <c r="L2" s="19" t="s">
        <v>125</v>
      </c>
      <c r="M2" s="5" t="s">
        <v>279</v>
      </c>
      <c r="N2" s="27" t="s">
        <v>245</v>
      </c>
      <c r="O2" s="5" t="s">
        <v>245</v>
      </c>
      <c r="P2" s="5" t="s">
        <v>245</v>
      </c>
      <c r="R2" s="34" t="s">
        <v>287</v>
      </c>
      <c r="T2" s="17" t="s">
        <v>246</v>
      </c>
    </row>
    <row r="3" spans="2:17" ht="12.75">
      <c r="B3" s="35" t="s">
        <v>67</v>
      </c>
      <c r="C3" s="35" t="s">
        <v>14</v>
      </c>
      <c r="D3" s="35" t="s">
        <v>14</v>
      </c>
      <c r="E3" s="35" t="s">
        <v>14</v>
      </c>
      <c r="F3" s="35" t="s">
        <v>68</v>
      </c>
      <c r="G3" s="93" t="s">
        <v>721</v>
      </c>
      <c r="H3" s="85" t="s">
        <v>722</v>
      </c>
      <c r="I3" s="22" t="s">
        <v>186</v>
      </c>
      <c r="J3" s="22" t="s">
        <v>201</v>
      </c>
      <c r="K3" s="37"/>
      <c r="L3" s="37" t="s">
        <v>573</v>
      </c>
      <c r="M3" s="15" t="s">
        <v>245</v>
      </c>
      <c r="N3" s="41" t="s">
        <v>416</v>
      </c>
      <c r="O3" s="15" t="s">
        <v>244</v>
      </c>
      <c r="P3" s="15" t="s">
        <v>246</v>
      </c>
      <c r="Q3" s="15" t="s">
        <v>247</v>
      </c>
    </row>
    <row r="4" spans="1:20" ht="12.75">
      <c r="A4" s="13" t="s">
        <v>288</v>
      </c>
      <c r="B4" s="27">
        <f>(22+14)/7</f>
        <v>5.142857142857143</v>
      </c>
      <c r="C4" s="36">
        <v>10</v>
      </c>
      <c r="D4" s="14" t="s">
        <v>25</v>
      </c>
      <c r="E4" s="14" t="s">
        <v>26</v>
      </c>
      <c r="F4" s="5">
        <v>149</v>
      </c>
      <c r="G4" s="92">
        <f>14.255/F4</f>
        <v>0.09567114093959732</v>
      </c>
      <c r="H4" s="16">
        <v>351</v>
      </c>
      <c r="I4" s="19">
        <f>F5/F4</f>
        <v>1.0604026845637584</v>
      </c>
      <c r="J4" s="27">
        <f>'table 2 life history'!F4/'table 3 Height'!F4/'table 3 Height'!F4*10000</f>
        <v>24.18809963515157</v>
      </c>
      <c r="K4" s="19">
        <v>1</v>
      </c>
      <c r="L4" s="19">
        <f>J5/J4</f>
        <v>0.9903421448300822</v>
      </c>
      <c r="M4" s="16">
        <v>152</v>
      </c>
      <c r="N4" s="27"/>
      <c r="O4" s="17">
        <v>97.5</v>
      </c>
      <c r="P4" s="17">
        <v>122</v>
      </c>
      <c r="Q4" s="17">
        <f aca="true" t="shared" si="0" ref="Q4:Q17">(P4-O4)/5</f>
        <v>4.9</v>
      </c>
      <c r="R4" s="30">
        <f>B4/((O4+P4)/2)^0.75</f>
        <v>0.15167048099989766</v>
      </c>
      <c r="T4" s="17">
        <f>P4/F4</f>
        <v>0.8187919463087249</v>
      </c>
    </row>
    <row r="5" spans="1:20" ht="12.75">
      <c r="A5" s="13" t="s">
        <v>289</v>
      </c>
      <c r="B5" s="27">
        <f>(P5-101.3)/5</f>
        <v>4.859999999999999</v>
      </c>
      <c r="C5" s="31" t="s">
        <v>75</v>
      </c>
      <c r="D5" s="14" t="s">
        <v>71</v>
      </c>
      <c r="E5" s="14" t="s">
        <v>72</v>
      </c>
      <c r="F5" s="5">
        <v>158</v>
      </c>
      <c r="G5" s="92">
        <f>14.352/F5</f>
        <v>0.09083544303797468</v>
      </c>
      <c r="H5" s="16">
        <v>395</v>
      </c>
      <c r="I5" s="19"/>
      <c r="J5" s="27">
        <f>'table 2 life history'!F5/'table 3 Height'!F5/'table 3 Height'!F5*10000</f>
        <v>23.954494472039734</v>
      </c>
      <c r="K5" s="19">
        <v>1</v>
      </c>
      <c r="L5" s="19"/>
      <c r="M5" s="16">
        <v>162</v>
      </c>
      <c r="N5" s="27"/>
      <c r="O5" s="17">
        <v>101.3</v>
      </c>
      <c r="P5" s="17">
        <v>125.6</v>
      </c>
      <c r="Q5" s="17">
        <f t="shared" si="0"/>
        <v>4.859999999999999</v>
      </c>
      <c r="R5" s="30">
        <f>B5/((O5+P5)/2)^0.75</f>
        <v>0.13980828041404322</v>
      </c>
      <c r="S5" s="17" t="s">
        <v>576</v>
      </c>
      <c r="T5" s="17">
        <f aca="true" t="shared" si="1" ref="T5:T37">P5/F5</f>
        <v>0.7949367088607595</v>
      </c>
    </row>
    <row r="6" spans="1:20" ht="12.75">
      <c r="A6" s="13" t="s">
        <v>292</v>
      </c>
      <c r="B6" s="23">
        <v>4.8</v>
      </c>
      <c r="C6" s="58"/>
      <c r="D6" s="31"/>
      <c r="E6" s="31"/>
      <c r="F6" s="5">
        <v>140</v>
      </c>
      <c r="I6" s="19">
        <f>F7/F6</f>
        <v>1.0714285714285714</v>
      </c>
      <c r="J6" s="27">
        <f>'table 2 life history'!F6/'table 3 Height'!F6/'table 3 Height'!F6*10000</f>
        <v>19.387755102040813</v>
      </c>
      <c r="K6" s="19"/>
      <c r="L6" s="19">
        <f>J7/J6</f>
        <v>0.9169590643274854</v>
      </c>
      <c r="M6" s="16"/>
      <c r="N6" s="27"/>
      <c r="O6" s="33">
        <v>95.2</v>
      </c>
      <c r="P6" s="33">
        <v>121.5</v>
      </c>
      <c r="Q6" s="17">
        <f t="shared" si="0"/>
        <v>5.26</v>
      </c>
      <c r="R6" s="30">
        <f>B6/((O6+P6)/2)^0.75</f>
        <v>0.14292873521633698</v>
      </c>
      <c r="S6" s="17" t="s">
        <v>577</v>
      </c>
      <c r="T6" s="17">
        <f t="shared" si="1"/>
        <v>0.8678571428571429</v>
      </c>
    </row>
    <row r="7" spans="1:20" ht="12.75">
      <c r="A7" s="13" t="s">
        <v>293</v>
      </c>
      <c r="B7" s="23">
        <v>4.8</v>
      </c>
      <c r="C7" s="31"/>
      <c r="D7" s="31"/>
      <c r="E7" s="31"/>
      <c r="F7" s="5">
        <v>150</v>
      </c>
      <c r="I7" s="19"/>
      <c r="J7" s="42">
        <f>'table 2 life history'!F7/'table 3 Height'!F7/'table 3 Height'!F7*10000</f>
        <v>17.777777777777775</v>
      </c>
      <c r="K7" s="19"/>
      <c r="L7" s="19"/>
      <c r="M7" s="16"/>
      <c r="N7" s="27"/>
      <c r="O7" s="33">
        <v>94.9</v>
      </c>
      <c r="P7" s="33">
        <v>120.1</v>
      </c>
      <c r="Q7" s="17">
        <f t="shared" si="0"/>
        <v>5.039999999999997</v>
      </c>
      <c r="R7" s="30">
        <f>B7/((O7+P7)/2)^0.75</f>
        <v>0.14377550085839205</v>
      </c>
      <c r="T7" s="17">
        <f t="shared" si="1"/>
        <v>0.8006666666666666</v>
      </c>
    </row>
    <row r="8" spans="1:20" ht="12.75">
      <c r="A8" s="13" t="s">
        <v>192</v>
      </c>
      <c r="B8" s="27">
        <v>5.5</v>
      </c>
      <c r="C8" s="31"/>
      <c r="D8" s="31"/>
      <c r="E8" s="31"/>
      <c r="F8" s="5">
        <v>143</v>
      </c>
      <c r="I8" s="19">
        <f>F9/F8</f>
        <v>1.06993006993007</v>
      </c>
      <c r="J8" s="27">
        <f>'table 2 life history'!F8/'table 3 Height'!F8/'table 3 Height'!F8*10000</f>
        <v>19.707565162110615</v>
      </c>
      <c r="K8" s="19">
        <f>5.156-4</f>
        <v>1.1559999999999997</v>
      </c>
      <c r="L8" s="19">
        <f>J9/J8</f>
        <v>1.0057780368454923</v>
      </c>
      <c r="M8" s="16"/>
      <c r="N8" s="27"/>
      <c r="O8" s="17">
        <v>95.3</v>
      </c>
      <c r="P8" s="17">
        <v>118.4</v>
      </c>
      <c r="Q8" s="17">
        <f t="shared" si="0"/>
        <v>4.620000000000002</v>
      </c>
      <c r="R8" s="30">
        <f aca="true" t="shared" si="2" ref="R8:R35">B8/((O8+P8)/2)^0.75</f>
        <v>0.16549382532335916</v>
      </c>
      <c r="T8" s="17">
        <f t="shared" si="1"/>
        <v>0.827972027972028</v>
      </c>
    </row>
    <row r="9" spans="1:20" ht="12.75">
      <c r="A9" s="13" t="s">
        <v>193</v>
      </c>
      <c r="B9" s="27">
        <v>5</v>
      </c>
      <c r="C9" s="31"/>
      <c r="D9" s="31"/>
      <c r="E9" s="31"/>
      <c r="F9" s="5">
        <v>153</v>
      </c>
      <c r="I9" s="19"/>
      <c r="J9" s="27">
        <f>'table 2 life history'!F9/'table 3 Height'!F9/'table 3 Height'!F9*10000</f>
        <v>19.82143619975223</v>
      </c>
      <c r="K9" s="19">
        <f>5.478-4.4</f>
        <v>1.0779999999999994</v>
      </c>
      <c r="L9" s="19"/>
      <c r="M9" s="16"/>
      <c r="N9" s="27"/>
      <c r="O9" s="17">
        <v>97.23</v>
      </c>
      <c r="P9" s="17">
        <v>117.3</v>
      </c>
      <c r="Q9" s="17">
        <f t="shared" si="0"/>
        <v>4.0139999999999985</v>
      </c>
      <c r="R9" s="30">
        <f t="shared" si="2"/>
        <v>0.15001216417224147</v>
      </c>
      <c r="T9" s="17">
        <f t="shared" si="1"/>
        <v>0.7666666666666666</v>
      </c>
    </row>
    <row r="10" spans="1:20" ht="12.75">
      <c r="A10" s="13" t="s">
        <v>114</v>
      </c>
      <c r="B10" s="27">
        <v>7.1</v>
      </c>
      <c r="C10" s="31"/>
      <c r="D10" s="14"/>
      <c r="E10" s="14"/>
      <c r="F10" s="5">
        <v>147</v>
      </c>
      <c r="I10" s="19">
        <f>F11/F10</f>
        <v>1.0476190476190477</v>
      </c>
      <c r="J10" s="27">
        <f>'table 2 life history'!F10/'table 3 Height'!F10/'table 3 Height'!F10*10000</f>
        <v>20.546994307927253</v>
      </c>
      <c r="K10" s="19">
        <f>6.45-5.398</f>
        <v>1.0520000000000005</v>
      </c>
      <c r="L10" s="19">
        <f>J11/J10</f>
        <v>1.0178691087781997</v>
      </c>
      <c r="M10" s="16"/>
      <c r="N10" s="27"/>
      <c r="O10" s="14" t="s">
        <v>255</v>
      </c>
      <c r="P10" s="14" t="s">
        <v>256</v>
      </c>
      <c r="Q10" s="17">
        <f t="shared" si="0"/>
        <v>5.780000000000001</v>
      </c>
      <c r="R10" s="30">
        <f t="shared" si="2"/>
        <v>0.19479300514177286</v>
      </c>
      <c r="T10" s="17">
        <f t="shared" si="1"/>
        <v>0.9204081632653062</v>
      </c>
    </row>
    <row r="11" spans="1:20" ht="12.75">
      <c r="A11" s="13" t="s">
        <v>115</v>
      </c>
      <c r="B11" s="27">
        <v>5.6</v>
      </c>
      <c r="C11" s="31"/>
      <c r="D11" s="14"/>
      <c r="E11" s="14"/>
      <c r="F11" s="5">
        <v>154</v>
      </c>
      <c r="I11" s="19"/>
      <c r="J11" s="27">
        <f>'table 2 life history'!F11/'table 3 Height'!F11/'table 3 Height'!F11*10000</f>
        <v>20.914150784280654</v>
      </c>
      <c r="K11" s="19">
        <f>5.42-4.328</f>
        <v>1.0919999999999996</v>
      </c>
      <c r="L11" s="19"/>
      <c r="M11" s="16"/>
      <c r="N11" s="27"/>
      <c r="O11" s="14" t="s">
        <v>257</v>
      </c>
      <c r="P11" s="14" t="s">
        <v>258</v>
      </c>
      <c r="Q11" s="17">
        <f t="shared" si="0"/>
        <v>3.419999999999999</v>
      </c>
      <c r="R11" s="30">
        <f t="shared" si="2"/>
        <v>0.1553785188474134</v>
      </c>
      <c r="T11" s="17">
        <f t="shared" si="1"/>
        <v>0.8285714285714285</v>
      </c>
    </row>
    <row r="12" spans="1:20" ht="12.75">
      <c r="A12" s="13" t="s">
        <v>152</v>
      </c>
      <c r="B12" s="27">
        <v>4.6</v>
      </c>
      <c r="C12" s="31" t="s">
        <v>310</v>
      </c>
      <c r="D12" s="14" t="s">
        <v>320</v>
      </c>
      <c r="E12" s="14" t="s">
        <v>71</v>
      </c>
      <c r="F12" s="5">
        <v>144</v>
      </c>
      <c r="I12" s="19">
        <f>F13/F12</f>
        <v>1.0694444444444444</v>
      </c>
      <c r="J12" s="27">
        <f>'table 2 life history'!F12/'table 3 Height'!F12/'table 3 Height'!F12*10000</f>
        <v>19.675925925925924</v>
      </c>
      <c r="K12" s="19"/>
      <c r="L12" s="19">
        <f>J13/J12</f>
        <v>1.005069796513647</v>
      </c>
      <c r="M12" s="16"/>
      <c r="N12" s="27"/>
      <c r="O12" s="14" t="s">
        <v>330</v>
      </c>
      <c r="P12" s="14" t="s">
        <v>331</v>
      </c>
      <c r="Q12" s="17">
        <f t="shared" si="0"/>
        <v>4.460000000000003</v>
      </c>
      <c r="R12" s="30">
        <f t="shared" si="2"/>
        <v>0.14150336010749603</v>
      </c>
      <c r="T12" s="17">
        <f t="shared" si="1"/>
        <v>0.7979166666666667</v>
      </c>
    </row>
    <row r="13" spans="1:16" ht="12.75">
      <c r="A13" s="13" t="s">
        <v>153</v>
      </c>
      <c r="B13" s="27"/>
      <c r="C13" s="31"/>
      <c r="D13" s="14"/>
      <c r="E13" s="14"/>
      <c r="F13" s="5">
        <v>154</v>
      </c>
      <c r="I13" s="19"/>
      <c r="J13" s="27">
        <f>'table 2 life history'!F13/'table 3 Height'!F13/'table 3 Height'!F13*10000</f>
        <v>19.77567886658796</v>
      </c>
      <c r="K13" s="19"/>
      <c r="L13" s="19"/>
      <c r="M13" s="16"/>
      <c r="P13" s="14"/>
    </row>
    <row r="14" spans="1:20" ht="12.75">
      <c r="A14" s="13" t="s">
        <v>472</v>
      </c>
      <c r="B14" s="27">
        <f>(P14-N14)/7</f>
        <v>6.285714285714286</v>
      </c>
      <c r="C14" s="5">
        <v>11</v>
      </c>
      <c r="D14" s="5">
        <v>13</v>
      </c>
      <c r="E14" s="5">
        <v>14</v>
      </c>
      <c r="F14" s="5">
        <v>156</v>
      </c>
      <c r="I14" s="19">
        <f>F15/F14</f>
        <v>1.0961538461538463</v>
      </c>
      <c r="J14" s="27">
        <f>'table 2 life history'!F14/'table 3 Height'!F14/'table 3 Height'!F14*10000</f>
        <v>16.970742932281397</v>
      </c>
      <c r="K14" s="19"/>
      <c r="L14" s="19">
        <f>J15/J14</f>
        <v>1.1184070792503111</v>
      </c>
      <c r="M14" s="16"/>
      <c r="N14" s="27">
        <v>89</v>
      </c>
      <c r="O14" s="14" t="s">
        <v>342</v>
      </c>
      <c r="P14" s="14" t="s">
        <v>476</v>
      </c>
      <c r="Q14" s="17">
        <f t="shared" si="0"/>
        <v>5.2</v>
      </c>
      <c r="R14" s="30">
        <f t="shared" si="2"/>
        <v>0.1733679053148362</v>
      </c>
      <c r="T14" s="17">
        <f t="shared" si="1"/>
        <v>0.8525641025641025</v>
      </c>
    </row>
    <row r="15" spans="1:20" ht="12.75">
      <c r="A15" s="13" t="s">
        <v>473</v>
      </c>
      <c r="B15" s="27">
        <f>(P15-N15)/7</f>
        <v>6</v>
      </c>
      <c r="C15" s="31" t="s">
        <v>31</v>
      </c>
      <c r="D15" s="14" t="s">
        <v>28</v>
      </c>
      <c r="E15" s="14" t="s">
        <v>474</v>
      </c>
      <c r="F15" s="5">
        <v>171</v>
      </c>
      <c r="I15" s="19"/>
      <c r="J15" s="27">
        <f>'table 2 life history'!F15/'table 3 Height'!F15/'table 3 Height'!F15*10000</f>
        <v>18.980199035600698</v>
      </c>
      <c r="K15" s="19"/>
      <c r="L15" s="19"/>
      <c r="M15" s="16"/>
      <c r="N15" s="27">
        <v>92</v>
      </c>
      <c r="O15" s="14" t="s">
        <v>475</v>
      </c>
      <c r="P15" s="14" t="s">
        <v>477</v>
      </c>
      <c r="Q15" s="17">
        <f t="shared" si="0"/>
        <v>4.8</v>
      </c>
      <c r="R15" s="30">
        <f t="shared" si="2"/>
        <v>0.16344866486249846</v>
      </c>
      <c r="T15" s="17">
        <f t="shared" si="1"/>
        <v>0.783625730994152</v>
      </c>
    </row>
    <row r="16" spans="1:20" ht="12.75">
      <c r="A16" s="13" t="s">
        <v>339</v>
      </c>
      <c r="B16" s="27">
        <v>6.1</v>
      </c>
      <c r="C16" s="31"/>
      <c r="D16" s="14"/>
      <c r="E16" s="14"/>
      <c r="F16" s="5">
        <v>144</v>
      </c>
      <c r="G16" s="92">
        <f>4.164/F16</f>
        <v>0.028916666666666663</v>
      </c>
      <c r="H16" s="16">
        <v>12</v>
      </c>
      <c r="I16" s="19">
        <f>F17/F16</f>
        <v>1.1041666666666667</v>
      </c>
      <c r="J16" s="27">
        <f>'table 2 life history'!F16/'table 3 Height'!F16/'table 3 Height'!F16*10000</f>
        <v>24.305555555555557</v>
      </c>
      <c r="K16" s="19">
        <f>5.759-2.912</f>
        <v>2.8470000000000004</v>
      </c>
      <c r="L16" s="19">
        <f>J17/J16</f>
        <v>0.9943548797233382</v>
      </c>
      <c r="M16" s="16"/>
      <c r="N16" s="27"/>
      <c r="O16" s="14" t="s">
        <v>342</v>
      </c>
      <c r="P16" s="29">
        <f>(126.3+139)/2</f>
        <v>132.65</v>
      </c>
      <c r="Q16" s="17">
        <f t="shared" si="0"/>
        <v>5.130000000000001</v>
      </c>
      <c r="R16" s="30">
        <f>B16/((O16+P16)/2)^0.75</f>
        <v>0.16842992558205674</v>
      </c>
      <c r="T16" s="17">
        <f t="shared" si="1"/>
        <v>0.9211805555555556</v>
      </c>
    </row>
    <row r="17" spans="1:20" ht="12.75">
      <c r="A17" s="13" t="s">
        <v>338</v>
      </c>
      <c r="B17" s="27">
        <v>5.6</v>
      </c>
      <c r="C17" s="31"/>
      <c r="D17" s="14"/>
      <c r="E17" s="14"/>
      <c r="F17" s="5">
        <v>159</v>
      </c>
      <c r="G17" s="92">
        <f>5.604/F17</f>
        <v>0.03524528301886792</v>
      </c>
      <c r="H17" s="16">
        <v>23</v>
      </c>
      <c r="I17" s="19"/>
      <c r="J17" s="27">
        <f>'table 2 life history'!F17/'table 3 Height'!F17/'table 3 Height'!F17*10000</f>
        <v>24.168347771053362</v>
      </c>
      <c r="K17" s="19">
        <f>5.469-4.08</f>
        <v>1.3890000000000002</v>
      </c>
      <c r="L17" s="19"/>
      <c r="M17" s="16"/>
      <c r="N17" s="27"/>
      <c r="O17" s="14" t="s">
        <v>343</v>
      </c>
      <c r="P17" s="14" t="s">
        <v>344</v>
      </c>
      <c r="Q17" s="17">
        <f t="shared" si="0"/>
        <v>5.8</v>
      </c>
      <c r="R17" s="30">
        <f t="shared" si="2"/>
        <v>0.15946473178681295</v>
      </c>
      <c r="T17" s="17">
        <f t="shared" si="1"/>
        <v>0.8144654088050315</v>
      </c>
    </row>
    <row r="18" spans="1:16" ht="12.75">
      <c r="A18" s="13" t="s">
        <v>6</v>
      </c>
      <c r="B18" s="27">
        <v>5.2</v>
      </c>
      <c r="C18" s="31" t="s">
        <v>74</v>
      </c>
      <c r="D18" s="14"/>
      <c r="E18" s="14" t="s">
        <v>31</v>
      </c>
      <c r="F18" s="5">
        <v>150</v>
      </c>
      <c r="I18" s="19">
        <f>F19/F18</f>
        <v>1.0666666666666667</v>
      </c>
      <c r="J18" s="27">
        <f>'table 2 life history'!F18/'table 3 Height'!F18/'table 3 Height'!F18*10000</f>
        <v>21.333333333333336</v>
      </c>
      <c r="K18" s="19"/>
      <c r="L18" s="19">
        <f>J19/J18</f>
        <v>0.9887695312499999</v>
      </c>
      <c r="M18" s="16"/>
      <c r="N18" s="27"/>
      <c r="O18" s="14"/>
      <c r="P18" s="14"/>
    </row>
    <row r="19" spans="1:16" ht="12.75">
      <c r="A19" s="13" t="s">
        <v>7</v>
      </c>
      <c r="B19" s="27">
        <v>4.7</v>
      </c>
      <c r="C19" s="31" t="s">
        <v>50</v>
      </c>
      <c r="D19" s="14" t="s">
        <v>27</v>
      </c>
      <c r="E19" s="14" t="s">
        <v>70</v>
      </c>
      <c r="F19" s="5">
        <v>160</v>
      </c>
      <c r="I19" s="19"/>
      <c r="J19" s="27">
        <f>'table 2 life history'!F19/'table 3 Height'!F19/'table 3 Height'!F19*10000</f>
        <v>21.09375</v>
      </c>
      <c r="K19" s="19"/>
      <c r="L19" s="19"/>
      <c r="M19" s="16"/>
      <c r="N19" s="27"/>
      <c r="O19" s="14"/>
      <c r="P19" s="14"/>
    </row>
    <row r="20" spans="1:20" ht="12.75">
      <c r="A20" s="13" t="s">
        <v>8</v>
      </c>
      <c r="B20" s="27">
        <v>7</v>
      </c>
      <c r="C20" s="31"/>
      <c r="D20" s="31"/>
      <c r="E20" s="31"/>
      <c r="F20" s="5">
        <v>146</v>
      </c>
      <c r="G20" s="92">
        <f>3.406/F20</f>
        <v>0.023328767123287672</v>
      </c>
      <c r="H20" s="16">
        <v>56</v>
      </c>
      <c r="I20" s="19">
        <f>F21/F20</f>
        <v>1.0684931506849316</v>
      </c>
      <c r="J20" s="27">
        <f>'table 2 life history'!F20/'table 3 Height'!F20/'table 3 Height'!F20*10000</f>
        <v>23.315819103021205</v>
      </c>
      <c r="K20" s="19">
        <f>6.0294-4.6138</f>
        <v>1.4155999999999995</v>
      </c>
      <c r="L20" s="19">
        <f>J21/J20</f>
        <v>1.0116074487688789</v>
      </c>
      <c r="M20" s="16">
        <v>150</v>
      </c>
      <c r="N20" s="27"/>
      <c r="O20" s="14" t="s">
        <v>248</v>
      </c>
      <c r="P20" s="37">
        <v>135</v>
      </c>
      <c r="Q20" s="17">
        <f aca="true" t="shared" si="3" ref="Q20:Q37">(P20-O20)/5</f>
        <v>6.4</v>
      </c>
      <c r="R20" s="30">
        <f t="shared" si="2"/>
        <v>0.1942843501189986</v>
      </c>
      <c r="T20" s="17">
        <f t="shared" si="1"/>
        <v>0.9246575342465754</v>
      </c>
    </row>
    <row r="21" spans="1:20" ht="12.75">
      <c r="A21" s="13" t="s">
        <v>9</v>
      </c>
      <c r="B21" s="27">
        <v>5.6</v>
      </c>
      <c r="C21" s="31"/>
      <c r="D21" s="31"/>
      <c r="E21" s="31"/>
      <c r="F21" s="5">
        <v>156</v>
      </c>
      <c r="G21" s="92">
        <f>4.027/F21</f>
        <v>0.025814102564102565</v>
      </c>
      <c r="H21" s="16">
        <v>55</v>
      </c>
      <c r="I21" s="19"/>
      <c r="J21" s="27">
        <f>'table 2 life history'!F21/'table 3 Height'!F21/'table 3 Height'!F21*10000</f>
        <v>23.586456278763972</v>
      </c>
      <c r="K21" s="19">
        <f>5.9142-4.8846</f>
        <v>1.0296000000000003</v>
      </c>
      <c r="L21" s="19"/>
      <c r="M21" s="16">
        <v>158</v>
      </c>
      <c r="N21" s="27"/>
      <c r="O21" s="14" t="s">
        <v>249</v>
      </c>
      <c r="P21" s="38">
        <v>129.3</v>
      </c>
      <c r="Q21" s="17">
        <f t="shared" si="3"/>
        <v>6.060000000000002</v>
      </c>
      <c r="R21" s="30">
        <f t="shared" si="2"/>
        <v>0.1603544771711569</v>
      </c>
      <c r="T21" s="17">
        <f t="shared" si="1"/>
        <v>0.8288461538461539</v>
      </c>
    </row>
    <row r="22" spans="1:20" ht="12.75">
      <c r="A22" s="13" t="s">
        <v>11</v>
      </c>
      <c r="B22" s="27">
        <v>4.2</v>
      </c>
      <c r="C22" s="31" t="s">
        <v>25</v>
      </c>
      <c r="D22" s="27">
        <v>15</v>
      </c>
      <c r="E22" s="27">
        <v>16.5</v>
      </c>
      <c r="F22" s="5">
        <v>150</v>
      </c>
      <c r="G22" s="92">
        <f>5.634/F22</f>
        <v>0.03756</v>
      </c>
      <c r="H22" s="16">
        <v>140</v>
      </c>
      <c r="I22" s="19">
        <f>F23/F22</f>
        <v>1.0733333333333333</v>
      </c>
      <c r="J22" s="27">
        <f>'table 2 life history'!F22/'table 3 Height'!F22/'table 3 Height'!F22*10000</f>
        <v>18.75555555555556</v>
      </c>
      <c r="K22" s="19">
        <v>0.7</v>
      </c>
      <c r="L22" s="19">
        <f>J23/J22</f>
        <v>1.0408037107280577</v>
      </c>
      <c r="M22" s="16">
        <v>153</v>
      </c>
      <c r="N22" s="27"/>
      <c r="O22" s="14" t="s">
        <v>250</v>
      </c>
      <c r="P22" s="14" t="s">
        <v>251</v>
      </c>
      <c r="Q22" s="17">
        <f t="shared" si="3"/>
        <v>4.2</v>
      </c>
      <c r="R22" s="30">
        <f t="shared" si="2"/>
        <v>0.12850264666241162</v>
      </c>
      <c r="T22" s="17">
        <f t="shared" si="1"/>
        <v>0.7666666666666667</v>
      </c>
    </row>
    <row r="23" spans="1:20" ht="12.75">
      <c r="A23" s="13" t="s">
        <v>10</v>
      </c>
      <c r="B23" s="27">
        <v>4.4</v>
      </c>
      <c r="C23" s="36">
        <v>14</v>
      </c>
      <c r="D23" s="27">
        <v>15.5</v>
      </c>
      <c r="E23" s="14" t="s">
        <v>73</v>
      </c>
      <c r="F23" s="5">
        <v>161</v>
      </c>
      <c r="G23" s="92">
        <f>5.851/F23</f>
        <v>0.0363416149068323</v>
      </c>
      <c r="H23" s="16">
        <v>130</v>
      </c>
      <c r="I23" s="19"/>
      <c r="J23" s="27">
        <f>'table 2 life history'!F23/'table 3 Height'!F23/'table 3 Height'!F23*10000</f>
        <v>19.520851818988465</v>
      </c>
      <c r="K23" s="19">
        <f>5.762-5.179</f>
        <v>0.5829999999999993</v>
      </c>
      <c r="L23" s="19"/>
      <c r="M23" s="16">
        <v>164</v>
      </c>
      <c r="N23" s="27"/>
      <c r="O23" s="27">
        <v>97</v>
      </c>
      <c r="P23" s="14" t="s">
        <v>252</v>
      </c>
      <c r="Q23" s="17">
        <f t="shared" si="3"/>
        <v>4.2</v>
      </c>
      <c r="R23" s="30">
        <f t="shared" si="2"/>
        <v>0.13179420912019274</v>
      </c>
      <c r="T23" s="17">
        <f t="shared" si="1"/>
        <v>0.7329192546583851</v>
      </c>
    </row>
    <row r="24" spans="1:20" ht="12.75">
      <c r="A24" s="13" t="s">
        <v>203</v>
      </c>
      <c r="B24" s="27">
        <f>(P24-N24)/7</f>
        <v>4.428571428571429</v>
      </c>
      <c r="C24" s="31" t="s">
        <v>50</v>
      </c>
      <c r="D24" s="14" t="s">
        <v>32</v>
      </c>
      <c r="E24" s="14" t="s">
        <v>29</v>
      </c>
      <c r="F24" s="5">
        <v>143</v>
      </c>
      <c r="G24" s="92">
        <f>4.715/F24</f>
        <v>0.03297202797202797</v>
      </c>
      <c r="H24" s="16">
        <v>10</v>
      </c>
      <c r="I24" s="19">
        <f>F25/F24</f>
        <v>1.0909090909090908</v>
      </c>
      <c r="J24" s="27">
        <f>'table 2 life history'!F24/'table 3 Height'!F24/'table 3 Height'!F24*10000</f>
        <v>24.304366961709622</v>
      </c>
      <c r="K24" s="20">
        <f>4.597-3.515</f>
        <v>1.0820000000000003</v>
      </c>
      <c r="L24" s="19">
        <f>J25/J24</f>
        <v>1.0245640509725016</v>
      </c>
      <c r="M24" s="16">
        <v>146</v>
      </c>
      <c r="N24" s="27">
        <v>87</v>
      </c>
      <c r="O24" s="27">
        <v>90</v>
      </c>
      <c r="P24" s="14" t="s">
        <v>252</v>
      </c>
      <c r="Q24" s="17">
        <f t="shared" si="3"/>
        <v>5.6</v>
      </c>
      <c r="R24" s="30">
        <f t="shared" si="2"/>
        <v>0.13598426221815518</v>
      </c>
      <c r="T24" s="17">
        <f t="shared" si="1"/>
        <v>0.8251748251748252</v>
      </c>
    </row>
    <row r="25" spans="1:20" ht="12.75">
      <c r="A25" s="13" t="s">
        <v>204</v>
      </c>
      <c r="B25" s="27">
        <f>(P25-90.09)/6</f>
        <v>4.8183333333333325</v>
      </c>
      <c r="C25" s="31" t="s">
        <v>32</v>
      </c>
      <c r="D25" s="14" t="s">
        <v>70</v>
      </c>
      <c r="E25" s="14" t="s">
        <v>29</v>
      </c>
      <c r="F25" s="5">
        <v>156</v>
      </c>
      <c r="G25" s="92">
        <f>6.131/F25</f>
        <v>0.039301282051282055</v>
      </c>
      <c r="H25" s="16">
        <v>21</v>
      </c>
      <c r="I25" s="19"/>
      <c r="J25" s="27">
        <f>'table 2 life history'!F25/'table 3 Height'!F25/'table 3 Height'!F25*10000</f>
        <v>24.90138067061144</v>
      </c>
      <c r="K25" s="19">
        <f>4.674-3.919</f>
        <v>0.7550000000000003</v>
      </c>
      <c r="L25" s="19"/>
      <c r="M25" s="16">
        <v>162</v>
      </c>
      <c r="N25" s="27"/>
      <c r="O25" s="27">
        <v>95</v>
      </c>
      <c r="P25" s="27">
        <v>119</v>
      </c>
      <c r="Q25" s="17">
        <f t="shared" si="3"/>
        <v>4.8</v>
      </c>
      <c r="R25" s="30">
        <f t="shared" si="2"/>
        <v>0.1448301591860922</v>
      </c>
      <c r="T25" s="17">
        <f t="shared" si="1"/>
        <v>0.7628205128205128</v>
      </c>
    </row>
    <row r="26" spans="1:20" ht="12.75">
      <c r="A26" s="13" t="s">
        <v>300</v>
      </c>
      <c r="B26" s="23">
        <v>4.6</v>
      </c>
      <c r="C26" s="31"/>
      <c r="D26" s="14"/>
      <c r="E26" s="14"/>
      <c r="F26" s="5">
        <v>136</v>
      </c>
      <c r="I26" s="19">
        <f>F27/F26</f>
        <v>1.0588235294117647</v>
      </c>
      <c r="J26" s="27">
        <f>'table 2 life history'!F26/'table 3 Height'!F26/'table 3 Height'!F26*10000</f>
        <v>21.30190311418685</v>
      </c>
      <c r="K26" s="19"/>
      <c r="L26" s="19">
        <f>J27/J26</f>
        <v>0.9734755906498717</v>
      </c>
      <c r="M26" s="16"/>
      <c r="N26" s="27">
        <v>79.9</v>
      </c>
      <c r="O26" s="27">
        <v>90.43</v>
      </c>
      <c r="P26" s="27">
        <v>114.8</v>
      </c>
      <c r="Q26" s="17">
        <f t="shared" si="3"/>
        <v>4.873999999999998</v>
      </c>
      <c r="R26" s="30">
        <f>B26/((O26+P26)/2)^0.75</f>
        <v>0.14267559572552713</v>
      </c>
      <c r="T26" s="17">
        <f t="shared" si="1"/>
        <v>0.8441176470588235</v>
      </c>
    </row>
    <row r="27" spans="1:21" ht="12.75">
      <c r="A27" s="13" t="s">
        <v>301</v>
      </c>
      <c r="B27" s="27">
        <v>4.3</v>
      </c>
      <c r="C27" s="31"/>
      <c r="D27" s="14"/>
      <c r="E27" s="14"/>
      <c r="F27" s="5">
        <v>144</v>
      </c>
      <c r="I27" s="19"/>
      <c r="J27" s="27">
        <f>'table 2 life history'!F27/'table 3 Height'!F27/'table 3 Height'!F27*10000</f>
        <v>20.736882716049383</v>
      </c>
      <c r="K27" s="19"/>
      <c r="L27" s="19"/>
      <c r="M27" s="16"/>
      <c r="N27" s="27">
        <v>80.9</v>
      </c>
      <c r="O27" s="27">
        <v>91.6</v>
      </c>
      <c r="P27" s="17">
        <v>116.5</v>
      </c>
      <c r="Q27" s="17">
        <f t="shared" si="3"/>
        <v>4.980000000000001</v>
      </c>
      <c r="R27" s="30">
        <f t="shared" si="2"/>
        <v>0.13198874278949804</v>
      </c>
      <c r="T27" s="17">
        <f t="shared" si="1"/>
        <v>0.8090277777777778</v>
      </c>
      <c r="U27" s="27"/>
    </row>
    <row r="28" spans="1:20" ht="12.75">
      <c r="A28" s="13" t="s">
        <v>302</v>
      </c>
      <c r="B28" s="27">
        <f>(P28-N28)/7</f>
        <v>5.071428571428571</v>
      </c>
      <c r="C28" s="31" t="s">
        <v>74</v>
      </c>
      <c r="D28" s="14"/>
      <c r="E28" s="14"/>
      <c r="F28" s="5">
        <v>145</v>
      </c>
      <c r="I28" s="19">
        <f>F29/F28</f>
        <v>1.0551724137931036</v>
      </c>
      <c r="J28" s="27">
        <f>'table 2 life history'!F28/'table 3 Height'!F28/'table 3 Height'!F28*10000</f>
        <v>20.309155766944116</v>
      </c>
      <c r="K28" s="19"/>
      <c r="L28" s="19">
        <f>J29/J28</f>
        <v>1.0159501494801284</v>
      </c>
      <c r="M28" s="16"/>
      <c r="N28" s="27">
        <v>89.5</v>
      </c>
      <c r="O28" s="27">
        <v>108.3</v>
      </c>
      <c r="P28" s="27">
        <v>125</v>
      </c>
      <c r="Q28" s="17">
        <f t="shared" si="3"/>
        <v>3.3400000000000007</v>
      </c>
      <c r="R28" s="30">
        <f t="shared" si="2"/>
        <v>0.14287845839447305</v>
      </c>
      <c r="T28" s="17">
        <f t="shared" si="1"/>
        <v>0.8620689655172413</v>
      </c>
    </row>
    <row r="29" spans="1:20" ht="12.75">
      <c r="A29" s="13" t="s">
        <v>303</v>
      </c>
      <c r="B29" s="27">
        <v>5.8</v>
      </c>
      <c r="C29" s="31"/>
      <c r="D29" s="14"/>
      <c r="E29" s="14"/>
      <c r="F29" s="5">
        <v>153</v>
      </c>
      <c r="I29" s="19"/>
      <c r="J29" s="27">
        <f>'table 2 life history'!F29/'table 3 Height'!F29/'table 3 Height'!F29*10000</f>
        <v>20.633089837242085</v>
      </c>
      <c r="K29" s="19"/>
      <c r="L29" s="29"/>
      <c r="M29" s="16"/>
      <c r="N29" s="27"/>
      <c r="O29" s="27">
        <v>107.6</v>
      </c>
      <c r="P29" s="27">
        <v>125.9</v>
      </c>
      <c r="Q29" s="17">
        <f t="shared" si="3"/>
        <v>3.6600000000000024</v>
      </c>
      <c r="R29" s="30">
        <f t="shared" si="2"/>
        <v>0.16329967734341547</v>
      </c>
      <c r="T29" s="17">
        <f t="shared" si="1"/>
        <v>0.8228758169934641</v>
      </c>
    </row>
    <row r="30" spans="1:20" ht="12.75">
      <c r="A30" s="13" t="s">
        <v>39</v>
      </c>
      <c r="B30" s="27">
        <f aca="true" t="shared" si="4" ref="B30:B35">(P30-N30)/7</f>
        <v>4.88</v>
      </c>
      <c r="C30" s="31" t="s">
        <v>74</v>
      </c>
      <c r="D30" s="14" t="s">
        <v>31</v>
      </c>
      <c r="E30" s="14" t="s">
        <v>27</v>
      </c>
      <c r="F30" s="5">
        <v>149</v>
      </c>
      <c r="G30" s="92">
        <f>12.393/F30</f>
        <v>0.08317449664429531</v>
      </c>
      <c r="H30" s="16">
        <v>143</v>
      </c>
      <c r="I30" s="19">
        <f>F31/F30</f>
        <v>1.0939597315436242</v>
      </c>
      <c r="J30" s="27">
        <f>'table 2 life history'!F30/'table 3 Height'!F30/'table 3 Height'!F30*10000</f>
        <v>22.97193820098194</v>
      </c>
      <c r="K30" s="19">
        <f>-4.984+5.678</f>
        <v>0.694</v>
      </c>
      <c r="L30" s="19">
        <f>J31/J30</f>
        <v>1.0043558798806511</v>
      </c>
      <c r="M30" s="16">
        <v>152</v>
      </c>
      <c r="N30" s="27">
        <v>87.84</v>
      </c>
      <c r="O30" s="27">
        <v>100</v>
      </c>
      <c r="P30" s="38">
        <v>122</v>
      </c>
      <c r="Q30" s="17">
        <f t="shared" si="3"/>
        <v>4.4</v>
      </c>
      <c r="R30" s="30">
        <f t="shared" si="2"/>
        <v>0.14270118775129068</v>
      </c>
      <c r="T30" s="17">
        <f t="shared" si="1"/>
        <v>0.8187919463087249</v>
      </c>
    </row>
    <row r="31" spans="1:20" ht="12.75">
      <c r="A31" s="13" t="s">
        <v>40</v>
      </c>
      <c r="B31" s="27">
        <f t="shared" si="4"/>
        <v>5.212857142857142</v>
      </c>
      <c r="C31" s="31" t="s">
        <v>31</v>
      </c>
      <c r="D31" s="14" t="s">
        <v>32</v>
      </c>
      <c r="E31" s="14" t="s">
        <v>51</v>
      </c>
      <c r="F31" s="5">
        <v>163</v>
      </c>
      <c r="G31" s="92">
        <f>5.154/F31</f>
        <v>0.03161963190184049</v>
      </c>
      <c r="H31" s="16">
        <v>104</v>
      </c>
      <c r="I31" s="19"/>
      <c r="J31" s="27">
        <f>'table 2 life history'!F31/'table 3 Height'!F31/'table 3 Height'!F31*10000</f>
        <v>23.072001204411155</v>
      </c>
      <c r="K31" s="19">
        <f>-4.847+5.431</f>
        <v>0.5839999999999996</v>
      </c>
      <c r="L31" s="19"/>
      <c r="M31" s="16">
        <v>166</v>
      </c>
      <c r="N31" s="27">
        <v>88.51</v>
      </c>
      <c r="O31" s="14" t="s">
        <v>253</v>
      </c>
      <c r="P31" s="14" t="s">
        <v>254</v>
      </c>
      <c r="Q31" s="17">
        <f t="shared" si="3"/>
        <v>4.6</v>
      </c>
      <c r="R31" s="30">
        <f t="shared" si="2"/>
        <v>0.14990942114761766</v>
      </c>
      <c r="T31" s="17">
        <f t="shared" si="1"/>
        <v>0.7668711656441718</v>
      </c>
    </row>
    <row r="32" spans="1:20" ht="12.75">
      <c r="A32" s="13" t="s">
        <v>157</v>
      </c>
      <c r="B32" s="27">
        <f t="shared" si="4"/>
        <v>6.285714285714286</v>
      </c>
      <c r="C32" s="31"/>
      <c r="D32" s="14"/>
      <c r="E32" s="14"/>
      <c r="F32" s="5">
        <v>157</v>
      </c>
      <c r="I32" s="19">
        <f>F33/F32</f>
        <v>1.0828025477707006</v>
      </c>
      <c r="J32" s="27">
        <f>'table 2 life history'!F32/'table 3 Height'!F32/'table 3 Height'!F32*10000</f>
        <v>18.25631871475516</v>
      </c>
      <c r="K32" s="19"/>
      <c r="L32" s="19">
        <f>J33/J32</f>
        <v>1.0803483275663206</v>
      </c>
      <c r="M32" s="16"/>
      <c r="N32" s="27">
        <v>93</v>
      </c>
      <c r="O32" s="14" t="s">
        <v>423</v>
      </c>
      <c r="P32" s="14" t="s">
        <v>424</v>
      </c>
      <c r="Q32" s="17">
        <f t="shared" si="3"/>
        <v>4.8</v>
      </c>
      <c r="R32" s="30">
        <f t="shared" si="2"/>
        <v>0.16814041953692896</v>
      </c>
      <c r="T32" s="17">
        <f t="shared" si="1"/>
        <v>0.8726114649681529</v>
      </c>
    </row>
    <row r="33" spans="1:20" ht="12.75">
      <c r="A33" s="13" t="s">
        <v>158</v>
      </c>
      <c r="B33" s="27">
        <f t="shared" si="4"/>
        <v>6.285714285714286</v>
      </c>
      <c r="C33" s="31"/>
      <c r="D33" s="14"/>
      <c r="E33" s="14"/>
      <c r="F33" s="5">
        <v>170</v>
      </c>
      <c r="I33" s="19"/>
      <c r="J33" s="27">
        <f>'table 2 life history'!F33/'table 3 Height'!F33/'table 3 Height'!F33*10000</f>
        <v>19.723183391003456</v>
      </c>
      <c r="K33" s="19"/>
      <c r="L33" s="19"/>
      <c r="M33" s="16"/>
      <c r="N33" s="27">
        <v>96</v>
      </c>
      <c r="O33" s="14" t="s">
        <v>425</v>
      </c>
      <c r="P33" s="14" t="s">
        <v>426</v>
      </c>
      <c r="Q33" s="17">
        <f t="shared" si="3"/>
        <v>5.8</v>
      </c>
      <c r="R33" s="30">
        <f t="shared" si="2"/>
        <v>0.16763775730350047</v>
      </c>
      <c r="T33" s="17">
        <f t="shared" si="1"/>
        <v>0.8235294117647058</v>
      </c>
    </row>
    <row r="34" spans="1:20" ht="12.75">
      <c r="A34" s="13" t="s">
        <v>139</v>
      </c>
      <c r="B34" s="27">
        <f t="shared" si="4"/>
        <v>4.642857142857143</v>
      </c>
      <c r="C34" s="31" t="s">
        <v>31</v>
      </c>
      <c r="D34" s="14"/>
      <c r="E34" s="14"/>
      <c r="F34" s="16">
        <v>142</v>
      </c>
      <c r="I34" s="19">
        <f>F35/F34</f>
        <v>1.0704225352112675</v>
      </c>
      <c r="J34" s="27">
        <f>'table 2 life history'!F34/'table 3 Height'!F34/'table 3 Height'!F34*10000</f>
        <v>22.5153739337433</v>
      </c>
      <c r="K34" s="19">
        <f>3.543-2.599</f>
        <v>0.944</v>
      </c>
      <c r="L34" s="19">
        <f>J35/J34</f>
        <v>0.9996247574651912</v>
      </c>
      <c r="N34" s="21">
        <v>96.5</v>
      </c>
      <c r="O34" s="27">
        <v>105.5</v>
      </c>
      <c r="P34" s="5">
        <v>129</v>
      </c>
      <c r="Q34" s="17">
        <f t="shared" si="3"/>
        <v>4.7</v>
      </c>
      <c r="R34" s="30">
        <f t="shared" si="2"/>
        <v>0.13030188019525657</v>
      </c>
      <c r="T34" s="17">
        <f t="shared" si="1"/>
        <v>0.9084507042253521</v>
      </c>
    </row>
    <row r="35" spans="1:20" ht="12.75">
      <c r="A35" s="13" t="s">
        <v>140</v>
      </c>
      <c r="B35" s="27">
        <f t="shared" si="4"/>
        <v>4.7285714285714295</v>
      </c>
      <c r="C35" s="31"/>
      <c r="D35" s="14"/>
      <c r="E35" s="14"/>
      <c r="F35" s="16">
        <v>152</v>
      </c>
      <c r="I35" s="19"/>
      <c r="J35" s="27">
        <f>'table 2 life history'!F35/'table 3 Height'!F35/'table 3 Height'!F35*10000</f>
        <v>22.506925207756236</v>
      </c>
      <c r="K35" s="19">
        <f>4.002-3.258</f>
        <v>0.7439999999999998</v>
      </c>
      <c r="L35" s="19"/>
      <c r="N35" s="27">
        <v>92.1</v>
      </c>
      <c r="O35" s="14" t="s">
        <v>259</v>
      </c>
      <c r="P35" s="14" t="s">
        <v>260</v>
      </c>
      <c r="Q35" s="17">
        <f t="shared" si="3"/>
        <v>3.4400000000000004</v>
      </c>
      <c r="R35" s="30">
        <f t="shared" si="2"/>
        <v>0.1332619122598269</v>
      </c>
      <c r="T35" s="17">
        <f t="shared" si="1"/>
        <v>0.8236842105263158</v>
      </c>
    </row>
    <row r="36" spans="1:20" ht="12.75">
      <c r="A36" s="13" t="s">
        <v>36</v>
      </c>
      <c r="B36" s="5">
        <v>6.5</v>
      </c>
      <c r="C36" s="36">
        <v>9.5</v>
      </c>
      <c r="D36" s="27">
        <v>10.5</v>
      </c>
      <c r="E36" s="27">
        <v>12</v>
      </c>
      <c r="F36" s="5">
        <v>162</v>
      </c>
      <c r="G36" s="92">
        <f>6.966/F36</f>
        <v>0.043000000000000003</v>
      </c>
      <c r="H36" s="16">
        <v>1046</v>
      </c>
      <c r="I36" s="19">
        <f>F37/F36</f>
        <v>1.0802469135802468</v>
      </c>
      <c r="J36" s="27">
        <f>'table 2 life history'!F36/'table 3 Height'!F36/'table 3 Height'!F36*10000</f>
        <v>24.996189605243103</v>
      </c>
      <c r="K36" s="19"/>
      <c r="L36" s="19">
        <f>J37/J36</f>
        <v>1.0450572424091589</v>
      </c>
      <c r="M36" s="16">
        <v>164</v>
      </c>
      <c r="N36" s="27"/>
      <c r="O36" s="14" t="s">
        <v>332</v>
      </c>
      <c r="P36" s="14" t="s">
        <v>334</v>
      </c>
      <c r="Q36" s="17">
        <f t="shared" si="3"/>
        <v>6.1</v>
      </c>
      <c r="R36" s="30">
        <f>B36/((O36+P36)/2)^0.75</f>
        <v>0.17402912901567114</v>
      </c>
      <c r="T36" s="17">
        <f t="shared" si="1"/>
        <v>0.8648148148148148</v>
      </c>
    </row>
    <row r="37" spans="1:20" ht="12.75">
      <c r="A37" s="13" t="s">
        <v>37</v>
      </c>
      <c r="B37" s="5">
        <v>6.3</v>
      </c>
      <c r="C37" s="36">
        <v>10</v>
      </c>
      <c r="D37" s="27">
        <v>12.5</v>
      </c>
      <c r="E37" s="27">
        <v>14.5</v>
      </c>
      <c r="F37" s="5">
        <v>175</v>
      </c>
      <c r="G37" s="92">
        <f>7.919/F37</f>
        <v>0.04525142857142857</v>
      </c>
      <c r="H37" s="16">
        <v>864</v>
      </c>
      <c r="I37" s="23"/>
      <c r="J37" s="27">
        <f>'table 2 life history'!F37/'table 3 Height'!F37/'table 3 Height'!F37*10000</f>
        <v>26.122448979591837</v>
      </c>
      <c r="K37" s="19"/>
      <c r="L37" s="19"/>
      <c r="M37" s="16">
        <v>175</v>
      </c>
      <c r="N37" s="27"/>
      <c r="O37" s="14" t="s">
        <v>333</v>
      </c>
      <c r="P37" s="14" t="s">
        <v>335</v>
      </c>
      <c r="Q37" s="17">
        <f t="shared" si="3"/>
        <v>5.6800000000000015</v>
      </c>
      <c r="R37" s="30">
        <f>B37/((O37+P37)/2)^0.75</f>
        <v>0.16842151404755368</v>
      </c>
      <c r="T37" s="17">
        <f t="shared" si="1"/>
        <v>0.796</v>
      </c>
    </row>
    <row r="38" spans="1:16" ht="12.75">
      <c r="A38" s="13"/>
      <c r="B38" s="5"/>
      <c r="C38" s="36"/>
      <c r="D38" s="27"/>
      <c r="E38" s="27"/>
      <c r="I38" s="23"/>
      <c r="J38" s="27"/>
      <c r="K38" s="19"/>
      <c r="L38" s="19"/>
      <c r="M38" s="16"/>
      <c r="N38" s="27"/>
      <c r="O38" s="14"/>
      <c r="P38" s="14"/>
    </row>
    <row r="39" spans="1:16" ht="12.75">
      <c r="A39" s="13"/>
      <c r="B39" s="5"/>
      <c r="C39" s="36"/>
      <c r="D39" s="27"/>
      <c r="E39" s="27"/>
      <c r="I39" s="23"/>
      <c r="J39" s="27"/>
      <c r="K39" s="19"/>
      <c r="L39" s="19"/>
      <c r="M39" s="16"/>
      <c r="N39" s="27"/>
      <c r="O39" s="14"/>
      <c r="P39" s="14"/>
    </row>
    <row r="41" spans="1:12" ht="12.75">
      <c r="A41" s="13" t="s">
        <v>355</v>
      </c>
      <c r="F41" s="16">
        <v>149</v>
      </c>
      <c r="I41" s="19">
        <f>F42/F41</f>
        <v>1.0671140939597314</v>
      </c>
      <c r="J41" s="27">
        <f>'table 2 life history'!F41/'table 3 Height'!F41/'table 3 Height'!F41*10000</f>
        <v>22.341335975856946</v>
      </c>
      <c r="K41" s="19"/>
      <c r="L41" s="19">
        <f>J42/J41</f>
        <v>0.9666945149423704</v>
      </c>
    </row>
    <row r="42" spans="1:11" ht="12.75">
      <c r="A42" s="13" t="s">
        <v>356</v>
      </c>
      <c r="F42" s="16">
        <v>159</v>
      </c>
      <c r="J42" s="27">
        <f>'table 2 life history'!F42/'table 3 Height'!F42/'table 3 Height'!F42*10000</f>
        <v>21.59724694434556</v>
      </c>
      <c r="K42" s="19"/>
    </row>
    <row r="43" spans="1:12" ht="12.75">
      <c r="A43" s="13" t="s">
        <v>188</v>
      </c>
      <c r="F43" s="16">
        <v>150</v>
      </c>
      <c r="I43" s="19">
        <f>F44/F43</f>
        <v>1.0733333333333333</v>
      </c>
      <c r="J43" s="27">
        <f>'table 2 life history'!F43/'table 3 Height'!F43/'table 3 Height'!F43*10000</f>
        <v>23.02222222222222</v>
      </c>
      <c r="K43" s="19"/>
      <c r="L43" s="19">
        <f>J44/J43</f>
        <v>0.9987280925902123</v>
      </c>
    </row>
    <row r="44" spans="1:11" ht="12.75">
      <c r="A44" s="13" t="s">
        <v>189</v>
      </c>
      <c r="F44" s="16">
        <v>161</v>
      </c>
      <c r="J44" s="27">
        <f>'table 2 life history'!F44/'table 3 Height'!F44/'table 3 Height'!F44*10000</f>
        <v>22.992940087187996</v>
      </c>
      <c r="K44" s="19"/>
    </row>
    <row r="45" spans="1:12" ht="12.75">
      <c r="A45" s="13" t="s">
        <v>417</v>
      </c>
      <c r="F45" s="16">
        <v>141</v>
      </c>
      <c r="L45" s="19"/>
    </row>
    <row r="46" spans="1:12" ht="12.75">
      <c r="A46" s="13" t="s">
        <v>194</v>
      </c>
      <c r="E46" s="49"/>
      <c r="F46" s="49">
        <v>145.7</v>
      </c>
      <c r="G46" s="94"/>
      <c r="H46" s="91"/>
      <c r="I46" s="19">
        <f>F47/F46</f>
        <v>1.0432395332875772</v>
      </c>
      <c r="J46" s="42">
        <f>'table 2 life history'!F46/'table 3 Height'!F46/'table 3 Height'!F46*10000</f>
        <v>17.900472431152664</v>
      </c>
      <c r="K46" s="19"/>
      <c r="L46" s="19">
        <f>J47/J46</f>
        <v>1.0880800431003061</v>
      </c>
    </row>
    <row r="47" spans="1:11" ht="12.75">
      <c r="A47" s="13" t="s">
        <v>195</v>
      </c>
      <c r="F47" s="49">
        <v>152</v>
      </c>
      <c r="G47" s="94"/>
      <c r="H47" s="91"/>
      <c r="J47" s="42">
        <f>'table 2 life history'!F47/'table 3 Height'!F47/'table 3 Height'!F47*10000</f>
        <v>19.47714681440443</v>
      </c>
      <c r="K47" s="19"/>
    </row>
    <row r="48" spans="1:6" ht="12.75">
      <c r="A48" s="13"/>
      <c r="F48" s="16"/>
    </row>
    <row r="49" spans="1:6" ht="12.75">
      <c r="A49" s="13"/>
      <c r="F49" s="16"/>
    </row>
    <row r="50" spans="1:12" ht="12.75">
      <c r="A50" s="13" t="s">
        <v>274</v>
      </c>
      <c r="C50" s="17">
        <v>9.6</v>
      </c>
      <c r="E50" s="49"/>
      <c r="F50" s="49">
        <v>145.1</v>
      </c>
      <c r="G50" s="94"/>
      <c r="H50" s="91"/>
      <c r="I50" s="19">
        <f>F51/F50</f>
        <v>1.0241212956581667</v>
      </c>
      <c r="J50" s="27">
        <f>'table 2 life history'!F50/'table 3 Height'!F50/'table 3 Height'!F50*10000</f>
        <v>19.948693859269564</v>
      </c>
      <c r="K50" s="19"/>
      <c r="L50" s="19">
        <f>J51/J50</f>
        <v>1.0896553437414846</v>
      </c>
    </row>
    <row r="51" spans="1:11" ht="12.75">
      <c r="A51" s="13" t="s">
        <v>275</v>
      </c>
      <c r="F51" s="49">
        <v>148.6</v>
      </c>
      <c r="G51" s="94"/>
      <c r="H51" s="91"/>
      <c r="J51" s="27">
        <f>'table 2 life history'!F51/'table 3 Height'!F51/'table 3 Height'!F51*10000</f>
        <v>21.73720086441602</v>
      </c>
      <c r="K51" s="19"/>
    </row>
    <row r="52" spans="1:11" ht="12.75">
      <c r="A52" s="13"/>
      <c r="F52" s="16"/>
      <c r="J52" s="27"/>
      <c r="K52" s="19"/>
    </row>
    <row r="53" spans="1:12" ht="12.75">
      <c r="A53" s="13" t="s">
        <v>345</v>
      </c>
      <c r="F53" s="16">
        <v>148</v>
      </c>
      <c r="J53" s="27">
        <f>'table 2 life history'!F53/'table 3 Height'!F53/'table 3 Height'!F53*10000</f>
        <v>21.228999269539813</v>
      </c>
      <c r="K53" s="19"/>
      <c r="L53" s="19"/>
    </row>
    <row r="54" spans="1:6" ht="12.75">
      <c r="A54" s="13"/>
      <c r="F54" s="16"/>
    </row>
    <row r="55" spans="1:6" ht="12.75">
      <c r="A55" s="13"/>
      <c r="F55" s="16"/>
    </row>
    <row r="56" spans="1:6" ht="12.75">
      <c r="A56" s="13"/>
      <c r="F56" s="16"/>
    </row>
    <row r="57" spans="1:6" ht="12.75">
      <c r="A57" s="13"/>
      <c r="F57" s="16"/>
    </row>
    <row r="58" spans="1:6" ht="12.75">
      <c r="A58" s="13"/>
      <c r="F58" s="16"/>
    </row>
    <row r="59" spans="1:6" ht="12.75">
      <c r="A59" s="13"/>
      <c r="F59" s="16"/>
    </row>
    <row r="60" spans="1:16" ht="12.75">
      <c r="A60" s="13" t="s">
        <v>408</v>
      </c>
      <c r="B60" s="5"/>
      <c r="C60" s="36"/>
      <c r="D60" s="27"/>
      <c r="E60" s="27"/>
      <c r="F60" s="5">
        <v>157</v>
      </c>
      <c r="I60" s="19">
        <f>F61/F60</f>
        <v>1.0318471337579618</v>
      </c>
      <c r="J60" s="27">
        <f>'table 2 life history'!F60/'table 3 Height'!F60/'table 3 Height'!F60*10000</f>
        <v>20.284798571950176</v>
      </c>
      <c r="K60" s="19"/>
      <c r="L60" s="19">
        <f>J61/J60</f>
        <v>1.0331466239902456</v>
      </c>
      <c r="M60" s="16"/>
      <c r="N60" s="27"/>
      <c r="O60" s="14"/>
      <c r="P60" s="14"/>
    </row>
    <row r="61" spans="1:16" ht="12.75">
      <c r="A61" s="13" t="s">
        <v>409</v>
      </c>
      <c r="B61" s="5"/>
      <c r="C61" s="36"/>
      <c r="D61" s="27"/>
      <c r="E61" s="27"/>
      <c r="F61" s="5">
        <v>162</v>
      </c>
      <c r="I61" s="23"/>
      <c r="J61" s="27">
        <f>'table 2 life history'!F61/'table 3 Height'!F61/'table 3 Height'!F61*10000</f>
        <v>20.95717116293248</v>
      </c>
      <c r="K61" s="19"/>
      <c r="L61" s="19"/>
      <c r="M61" s="16"/>
      <c r="N61" s="27"/>
      <c r="O61" s="14"/>
      <c r="P61" s="14"/>
    </row>
    <row r="62" spans="1:16" ht="12.75">
      <c r="A62" s="13"/>
      <c r="B62" s="5"/>
      <c r="C62" s="36"/>
      <c r="D62" s="27"/>
      <c r="E62" s="27"/>
      <c r="I62" s="23"/>
      <c r="J62" s="27"/>
      <c r="K62" s="19"/>
      <c r="L62" s="19"/>
      <c r="M62" s="16"/>
      <c r="N62" s="27"/>
      <c r="O62" s="14"/>
      <c r="P62" s="14"/>
    </row>
    <row r="63" spans="1:16" ht="12.75">
      <c r="A63" s="13"/>
      <c r="B63" s="5"/>
      <c r="C63" s="36"/>
      <c r="D63" s="27"/>
      <c r="E63" s="27"/>
      <c r="I63" s="23"/>
      <c r="J63" s="27"/>
      <c r="K63" s="19"/>
      <c r="L63" s="19"/>
      <c r="M63" s="16"/>
      <c r="N63" s="27"/>
      <c r="O63" s="14"/>
      <c r="P63" s="14"/>
    </row>
    <row r="64" spans="1:16" ht="12.75">
      <c r="A64" s="13"/>
      <c r="B64" s="5"/>
      <c r="C64" s="36"/>
      <c r="D64" s="27"/>
      <c r="E64" s="27"/>
      <c r="I64" s="23"/>
      <c r="J64" s="27"/>
      <c r="K64" s="19"/>
      <c r="L64" s="19"/>
      <c r="M64" s="16"/>
      <c r="N64" s="27"/>
      <c r="O64" s="14"/>
      <c r="P64" s="14"/>
    </row>
    <row r="65" spans="1:16" ht="12.75">
      <c r="A65" s="13"/>
      <c r="B65" s="5"/>
      <c r="C65" s="36"/>
      <c r="D65" s="27"/>
      <c r="E65" s="27"/>
      <c r="I65" s="23"/>
      <c r="J65" s="27"/>
      <c r="K65" s="19"/>
      <c r="L65" s="19"/>
      <c r="M65" s="16"/>
      <c r="N65" s="27"/>
      <c r="O65" s="14"/>
      <c r="P65" s="14"/>
    </row>
    <row r="66" spans="1:16" ht="12.75">
      <c r="A66" s="13"/>
      <c r="B66" s="5"/>
      <c r="C66" s="36"/>
      <c r="D66" s="27"/>
      <c r="E66" s="27"/>
      <c r="I66" s="23"/>
      <c r="J66" s="27"/>
      <c r="K66" s="19"/>
      <c r="L66" s="19"/>
      <c r="M66" s="16"/>
      <c r="N66" s="27"/>
      <c r="O66" s="14"/>
      <c r="P66" s="14"/>
    </row>
    <row r="67" spans="1:16" ht="12.75">
      <c r="A67" s="13"/>
      <c r="B67" s="5"/>
      <c r="C67" s="36"/>
      <c r="D67" s="27"/>
      <c r="E67" s="27"/>
      <c r="I67" s="23"/>
      <c r="J67" s="27"/>
      <c r="K67" s="19"/>
      <c r="L67" s="19"/>
      <c r="M67" s="16"/>
      <c r="N67" s="27"/>
      <c r="O67" s="14"/>
      <c r="P67" s="14"/>
    </row>
    <row r="68" spans="1:16" ht="12.75">
      <c r="A68" s="13"/>
      <c r="B68" s="5"/>
      <c r="C68" s="36"/>
      <c r="D68" s="27"/>
      <c r="E68" s="27"/>
      <c r="I68" s="23"/>
      <c r="J68" s="27"/>
      <c r="K68" s="19"/>
      <c r="L68" s="19"/>
      <c r="M68" s="16"/>
      <c r="N68" s="27"/>
      <c r="O68" s="14"/>
      <c r="P68" s="14"/>
    </row>
    <row r="69" spans="1:16" ht="12.75">
      <c r="A69" s="13"/>
      <c r="B69" s="5"/>
      <c r="C69" s="36"/>
      <c r="D69" s="27"/>
      <c r="E69" s="27"/>
      <c r="I69" s="23"/>
      <c r="J69" s="27"/>
      <c r="K69" s="19"/>
      <c r="L69" s="19"/>
      <c r="M69" s="16"/>
      <c r="N69" s="27"/>
      <c r="O69" s="14"/>
      <c r="P69" s="14"/>
    </row>
    <row r="70" spans="1:16" ht="12.75">
      <c r="A70" s="13"/>
      <c r="B70" s="5"/>
      <c r="C70" s="36"/>
      <c r="D70" s="27"/>
      <c r="E70" s="27"/>
      <c r="I70" s="23"/>
      <c r="J70" s="27"/>
      <c r="K70" s="19"/>
      <c r="L70" s="19"/>
      <c r="M70" s="16"/>
      <c r="N70" s="27"/>
      <c r="O70" s="14"/>
      <c r="P70" s="14"/>
    </row>
    <row r="71" spans="1:16" ht="12.75">
      <c r="A71" s="13"/>
      <c r="B71" s="5"/>
      <c r="C71" s="36"/>
      <c r="D71" s="27"/>
      <c r="E71" s="27"/>
      <c r="I71" s="23"/>
      <c r="J71" s="27"/>
      <c r="K71" s="19"/>
      <c r="L71" s="19"/>
      <c r="M71" s="16"/>
      <c r="N71" s="27"/>
      <c r="O71" s="14"/>
      <c r="P71" s="14"/>
    </row>
    <row r="72" spans="1:16" ht="12.75">
      <c r="A72" s="13" t="s">
        <v>649</v>
      </c>
      <c r="B72" s="5">
        <v>4.6</v>
      </c>
      <c r="C72" s="5"/>
      <c r="D72" s="5"/>
      <c r="E72" s="5"/>
      <c r="F72" s="16">
        <v>136</v>
      </c>
      <c r="I72" s="19">
        <f>F73/F72</f>
        <v>1.0514705882352942</v>
      </c>
      <c r="J72" s="27">
        <f>'table 2 life history'!F72/'table 3 Height'!F72/'table 3 Height'!F72*10000</f>
        <v>21.30190311418685</v>
      </c>
      <c r="K72" s="19"/>
      <c r="L72" s="19">
        <f>J73/J72</f>
        <v>0.9871382389219883</v>
      </c>
      <c r="N72" s="21">
        <v>81</v>
      </c>
      <c r="O72" s="27">
        <v>91</v>
      </c>
      <c r="P72" s="5"/>
    </row>
    <row r="73" spans="1:16" ht="12.75">
      <c r="A73" s="13" t="s">
        <v>650</v>
      </c>
      <c r="B73" s="5">
        <v>4.3</v>
      </c>
      <c r="C73" s="5"/>
      <c r="D73" s="5"/>
      <c r="E73" s="5"/>
      <c r="F73" s="16">
        <v>143</v>
      </c>
      <c r="I73" s="24"/>
      <c r="J73" s="27">
        <f>'table 2 life history'!F73/'table 3 Height'!F73/'table 3 Height'!F73*10000</f>
        <v>21.027923125825225</v>
      </c>
      <c r="K73" s="19"/>
      <c r="O73" s="27"/>
      <c r="P73" s="27"/>
    </row>
    <row r="74" spans="1:16" ht="12.75">
      <c r="A74" s="13"/>
      <c r="C74" s="5"/>
      <c r="D74" s="5"/>
      <c r="E74" s="5"/>
      <c r="F74" s="16"/>
      <c r="I74" s="24"/>
      <c r="J74" s="27"/>
      <c r="K74" s="19"/>
      <c r="O74" s="27"/>
      <c r="P74" s="27"/>
    </row>
    <row r="75" spans="1:16" ht="12.75">
      <c r="A75" s="13" t="s">
        <v>453</v>
      </c>
      <c r="C75" s="5">
        <v>15.5</v>
      </c>
      <c r="D75" s="5">
        <v>17</v>
      </c>
      <c r="E75" s="5">
        <v>19</v>
      </c>
      <c r="F75" s="16">
        <v>142</v>
      </c>
      <c r="I75" s="19">
        <f>F76/F75</f>
        <v>1.056338028169014</v>
      </c>
      <c r="J75" s="27">
        <f>'table 2 life history'!F75/'table 3 Height'!F75/'table 3 Height'!F75*10000</f>
        <v>18.845467169212455</v>
      </c>
      <c r="K75" s="19"/>
      <c r="L75" s="19">
        <f>J76/J75</f>
        <v>1.0211709941520468</v>
      </c>
      <c r="O75" s="27"/>
      <c r="P75" s="27"/>
    </row>
    <row r="76" spans="1:16" ht="12.75">
      <c r="A76" s="13" t="s">
        <v>454</v>
      </c>
      <c r="C76" s="5"/>
      <c r="D76" s="5"/>
      <c r="E76" s="5"/>
      <c r="F76" s="16">
        <v>150</v>
      </c>
      <c r="I76" s="24"/>
      <c r="J76" s="27">
        <f>'table 2 life history'!F76/'table 3 Height'!F76/'table 3 Height'!F76*10000</f>
        <v>19.24444444444444</v>
      </c>
      <c r="K76" s="19"/>
      <c r="O76" s="27"/>
      <c r="P76" s="27"/>
    </row>
    <row r="77" spans="1:16" ht="12.75">
      <c r="A77" s="13"/>
      <c r="C77" s="5"/>
      <c r="D77" s="5"/>
      <c r="E77" s="5"/>
      <c r="F77" s="16"/>
      <c r="I77" s="24"/>
      <c r="J77" s="27"/>
      <c r="K77" s="19"/>
      <c r="O77" s="27"/>
      <c r="P77" s="27"/>
    </row>
    <row r="78" spans="1:16" ht="12.75">
      <c r="A78" s="13"/>
      <c r="F78" s="16"/>
      <c r="I78" s="24"/>
      <c r="J78" s="27"/>
      <c r="K78" s="19"/>
      <c r="O78" s="27"/>
      <c r="P78" s="27"/>
    </row>
    <row r="79" spans="1:16" ht="12.75">
      <c r="A79" s="13"/>
      <c r="F79" s="16"/>
      <c r="I79" s="24"/>
      <c r="J79" s="27"/>
      <c r="K79" s="19"/>
      <c r="O79" s="27"/>
      <c r="P79" s="27"/>
    </row>
    <row r="80" spans="1:16" ht="12.75">
      <c r="A80" s="13"/>
      <c r="F80" s="16"/>
      <c r="I80" s="24"/>
      <c r="J80" s="27"/>
      <c r="K80" s="19"/>
      <c r="O80" s="27"/>
      <c r="P80" s="27"/>
    </row>
    <row r="81" spans="1:16" ht="12.75">
      <c r="A81" s="13"/>
      <c r="F81" s="16"/>
      <c r="I81" s="24"/>
      <c r="J81" s="27"/>
      <c r="K81" s="19"/>
      <c r="O81" s="27"/>
      <c r="P81" s="27"/>
    </row>
    <row r="82" spans="1:16" ht="12.75">
      <c r="A82" s="13"/>
      <c r="F82" s="16"/>
      <c r="I82" s="24"/>
      <c r="J82" s="27"/>
      <c r="K82" s="19"/>
      <c r="O82" s="27"/>
      <c r="P82" s="27"/>
    </row>
    <row r="83" spans="1:16" ht="12.75">
      <c r="A83" s="13"/>
      <c r="F83" s="16"/>
      <c r="I83" s="24"/>
      <c r="J83" s="27"/>
      <c r="K83" s="19"/>
      <c r="O83" s="27"/>
      <c r="P83" s="27"/>
    </row>
    <row r="84" spans="1:16" ht="12.75">
      <c r="A84" s="13"/>
      <c r="F84" s="16"/>
      <c r="I84" s="24"/>
      <c r="J84" s="27"/>
      <c r="K84" s="19"/>
      <c r="O84" s="27"/>
      <c r="P84" s="27"/>
    </row>
    <row r="85" spans="1:14" ht="12.75">
      <c r="A85" s="13" t="s">
        <v>133</v>
      </c>
      <c r="F85" s="49">
        <v>139.3</v>
      </c>
      <c r="G85" s="94"/>
      <c r="H85" s="91"/>
      <c r="I85" s="19">
        <f>F86/F85</f>
        <v>1.071069633883704</v>
      </c>
      <c r="J85" s="42">
        <f>'table 2 life history'!F85/'table 3 Height'!F85/'table 3 Height'!F85*10000</f>
        <v>21.79907846070677</v>
      </c>
      <c r="K85" s="19"/>
      <c r="L85" s="19">
        <f>J86/J85</f>
        <v>0.917031449859271</v>
      </c>
      <c r="M85" s="16"/>
      <c r="N85" s="27"/>
    </row>
    <row r="86" spans="1:14" ht="12.75">
      <c r="A86" s="13" t="s">
        <v>134</v>
      </c>
      <c r="F86" s="49">
        <v>149.2</v>
      </c>
      <c r="G86" s="94"/>
      <c r="H86" s="91"/>
      <c r="I86" s="5"/>
      <c r="J86" s="27">
        <f>'table 2 life history'!F86/'table 3 Height'!F86/'table 3 Height'!F86*10000</f>
        <v>19.990440526417935</v>
      </c>
      <c r="K86" s="19"/>
      <c r="L86" s="19"/>
      <c r="M86" s="5"/>
      <c r="N86" s="27"/>
    </row>
    <row r="87" spans="1:16" ht="12.75">
      <c r="A87" s="13" t="s">
        <v>350</v>
      </c>
      <c r="F87" s="16">
        <v>152</v>
      </c>
      <c r="I87" s="19">
        <f>F88/F87</f>
        <v>1.0657894736842106</v>
      </c>
      <c r="J87" s="27"/>
      <c r="K87" s="19"/>
      <c r="L87" s="19"/>
      <c r="O87" s="27"/>
      <c r="P87" s="27"/>
    </row>
    <row r="88" spans="1:16" ht="12.75">
      <c r="A88" s="13" t="s">
        <v>351</v>
      </c>
      <c r="F88" s="16">
        <v>162</v>
      </c>
      <c r="I88" s="24"/>
      <c r="J88" s="27"/>
      <c r="K88" s="19"/>
      <c r="O88" s="27"/>
      <c r="P88" s="27"/>
    </row>
    <row r="89" spans="1:16" ht="12.75">
      <c r="A89" s="13" t="s">
        <v>308</v>
      </c>
      <c r="F89" s="16">
        <v>160</v>
      </c>
      <c r="I89" s="19">
        <f>F90/F89</f>
        <v>1.0875</v>
      </c>
      <c r="J89" s="27"/>
      <c r="K89" s="19"/>
      <c r="L89" s="19"/>
      <c r="O89" s="27"/>
      <c r="P89" s="27"/>
    </row>
    <row r="90" spans="1:16" ht="12.75">
      <c r="A90" s="13" t="s">
        <v>309</v>
      </c>
      <c r="C90" s="17">
        <v>12</v>
      </c>
      <c r="D90" s="17">
        <v>15</v>
      </c>
      <c r="E90" s="17">
        <v>18</v>
      </c>
      <c r="F90" s="16">
        <v>174</v>
      </c>
      <c r="I90" s="24"/>
      <c r="J90" s="27"/>
      <c r="K90" s="19"/>
      <c r="O90" s="27"/>
      <c r="P90" s="27"/>
    </row>
    <row r="91" spans="1:12" ht="12.75">
      <c r="A91" s="13" t="s">
        <v>272</v>
      </c>
      <c r="F91" s="16">
        <v>136</v>
      </c>
      <c r="I91" s="19">
        <f>F92/F91</f>
        <v>1.0588235294117647</v>
      </c>
      <c r="J91" s="27"/>
      <c r="K91" s="19"/>
      <c r="L91" s="19"/>
    </row>
    <row r="92" spans="1:11" ht="12.75">
      <c r="A92" s="13" t="s">
        <v>273</v>
      </c>
      <c r="F92" s="16">
        <v>144</v>
      </c>
      <c r="J92" s="27"/>
      <c r="K92" s="19"/>
    </row>
    <row r="93" spans="1:16" ht="12.75">
      <c r="A93" s="13" t="s">
        <v>294</v>
      </c>
      <c r="C93" s="17">
        <v>9</v>
      </c>
      <c r="D93" s="17">
        <v>11.5</v>
      </c>
      <c r="E93" s="17">
        <v>14.5</v>
      </c>
      <c r="F93" s="16">
        <v>163</v>
      </c>
      <c r="I93" s="19">
        <f>F94/F93</f>
        <v>1.0858895705521472</v>
      </c>
      <c r="J93" s="27"/>
      <c r="K93" s="19"/>
      <c r="L93" s="19"/>
      <c r="O93" s="27"/>
      <c r="P93" s="27"/>
    </row>
    <row r="94" spans="1:16" ht="12.75">
      <c r="A94" s="13" t="s">
        <v>295</v>
      </c>
      <c r="C94" s="17">
        <v>11</v>
      </c>
      <c r="D94" s="17">
        <v>13.5</v>
      </c>
      <c r="E94" s="17">
        <v>16.5</v>
      </c>
      <c r="F94" s="16">
        <v>177</v>
      </c>
      <c r="I94" s="24"/>
      <c r="J94" s="27"/>
      <c r="K94" s="19"/>
      <c r="O94" s="27"/>
      <c r="P94" s="27"/>
    </row>
    <row r="95" spans="1:16" ht="12.75">
      <c r="A95" s="13" t="s">
        <v>298</v>
      </c>
      <c r="C95" s="17">
        <v>9</v>
      </c>
      <c r="D95" s="17">
        <v>11.5</v>
      </c>
      <c r="E95" s="17">
        <v>15</v>
      </c>
      <c r="F95" s="16">
        <v>170</v>
      </c>
      <c r="I95" s="19"/>
      <c r="J95" s="27"/>
      <c r="K95" s="19"/>
      <c r="L95" s="19"/>
      <c r="O95" s="27"/>
      <c r="P95" s="27"/>
    </row>
    <row r="96" spans="1:16" ht="12.75">
      <c r="A96" s="13" t="s">
        <v>299</v>
      </c>
      <c r="C96" s="17">
        <v>11</v>
      </c>
      <c r="D96" s="17">
        <v>14</v>
      </c>
      <c r="E96" s="17">
        <v>16.5</v>
      </c>
      <c r="F96" s="16">
        <v>181</v>
      </c>
      <c r="I96" s="24"/>
      <c r="J96" s="27"/>
      <c r="K96" s="19"/>
      <c r="O96" s="27"/>
      <c r="P96" s="27"/>
    </row>
    <row r="104" spans="1:14" ht="12.75">
      <c r="A104" s="13" t="s">
        <v>137</v>
      </c>
      <c r="E104" s="49"/>
      <c r="F104" s="49">
        <v>137.1</v>
      </c>
      <c r="G104" s="94"/>
      <c r="H104" s="91"/>
      <c r="I104" s="19">
        <f>F105/F104</f>
        <v>1.086797957695113</v>
      </c>
      <c r="J104" s="42">
        <f>'table 2 life history'!F104/'table 3 Height'!F104/'table 3 Height'!F104*10000</f>
        <v>22.8767089034555</v>
      </c>
      <c r="K104" s="19"/>
      <c r="L104" s="19">
        <f>J105/J104</f>
        <v>0.8505848908963874</v>
      </c>
      <c r="M104" s="5"/>
      <c r="N104" s="27"/>
    </row>
    <row r="105" spans="1:14" ht="12.75">
      <c r="A105" s="13" t="s">
        <v>138</v>
      </c>
      <c r="F105" s="49">
        <v>149</v>
      </c>
      <c r="G105" s="94"/>
      <c r="H105" s="91"/>
      <c r="I105" s="5"/>
      <c r="J105" s="27">
        <f>'table 2 life history'!F105/'table 3 Height'!F105/'table 3 Height'!F105*10000</f>
        <v>19.458582946714113</v>
      </c>
      <c r="K105" s="19"/>
      <c r="L105" s="19"/>
      <c r="M105" s="5"/>
      <c r="N105" s="27"/>
    </row>
    <row r="106" spans="1:16" ht="12.75">
      <c r="A106" s="13" t="s">
        <v>296</v>
      </c>
      <c r="C106" s="17">
        <v>9</v>
      </c>
      <c r="D106" s="17">
        <v>11</v>
      </c>
      <c r="E106" s="17">
        <v>14.5</v>
      </c>
      <c r="F106" s="16">
        <v>163</v>
      </c>
      <c r="I106" s="19"/>
      <c r="J106" s="27"/>
      <c r="K106" s="19"/>
      <c r="L106" s="19"/>
      <c r="O106" s="27"/>
      <c r="P106" s="27"/>
    </row>
    <row r="107" spans="1:16" ht="12.75">
      <c r="A107" s="13" t="s">
        <v>297</v>
      </c>
      <c r="C107" s="17">
        <v>11</v>
      </c>
      <c r="D107" s="17">
        <v>13</v>
      </c>
      <c r="E107" s="17">
        <v>16.5</v>
      </c>
      <c r="F107" s="16">
        <v>177</v>
      </c>
      <c r="I107" s="24"/>
      <c r="J107" s="27"/>
      <c r="K107" s="19"/>
      <c r="O107" s="27"/>
      <c r="P107" s="27"/>
    </row>
    <row r="108" spans="1:16" ht="12.75">
      <c r="A108" s="13" t="s">
        <v>154</v>
      </c>
      <c r="E108" s="49"/>
      <c r="F108" s="49">
        <v>146.8</v>
      </c>
      <c r="G108" s="94"/>
      <c r="H108" s="91"/>
      <c r="I108" s="19">
        <f>F109/F108</f>
        <v>1.0674386920980925</v>
      </c>
      <c r="J108" s="42">
        <f>'table 2 life history'!F108/'table 3 Height'!F108/'table 3 Height'!F108*10000</f>
        <v>17.58681109815946</v>
      </c>
      <c r="K108" s="19"/>
      <c r="L108" s="19">
        <f>J109/J108</f>
        <v>1.2249844627082118</v>
      </c>
      <c r="O108" s="27"/>
      <c r="P108" s="27"/>
    </row>
    <row r="109" spans="1:16" ht="12.75">
      <c r="A109" s="13" t="s">
        <v>155</v>
      </c>
      <c r="F109" s="49">
        <v>156.7</v>
      </c>
      <c r="G109" s="94"/>
      <c r="H109" s="91"/>
      <c r="I109" s="24"/>
      <c r="J109" s="42">
        <f>'table 2 life history'!F109/'table 3 Height'!F109/'table 3 Height'!F109*10000</f>
        <v>21.543570343829682</v>
      </c>
      <c r="K109" s="19"/>
      <c r="O109" s="27"/>
      <c r="P109" s="27"/>
    </row>
    <row r="110" spans="1:16" ht="12.75">
      <c r="A110" s="13"/>
      <c r="F110" s="16"/>
      <c r="I110" s="24"/>
      <c r="J110" s="27"/>
      <c r="K110" s="19"/>
      <c r="O110" s="27"/>
      <c r="P110" s="27"/>
    </row>
    <row r="111" spans="1:16" ht="12.75">
      <c r="A111" s="13"/>
      <c r="F111" s="16"/>
      <c r="I111" s="24"/>
      <c r="J111" s="27"/>
      <c r="K111" s="19"/>
      <c r="O111" s="27"/>
      <c r="P111" s="27"/>
    </row>
    <row r="112" spans="1:16" ht="12.75">
      <c r="A112" s="13"/>
      <c r="F112" s="16"/>
      <c r="I112" s="24"/>
      <c r="J112" s="27"/>
      <c r="K112" s="19"/>
      <c r="O112" s="27"/>
      <c r="P112" s="27"/>
    </row>
    <row r="113" spans="1:16" ht="12.75">
      <c r="A113" s="13"/>
      <c r="F113" s="16"/>
      <c r="I113" s="24"/>
      <c r="J113" s="27"/>
      <c r="K113" s="19"/>
      <c r="O113" s="27"/>
      <c r="P113" s="27"/>
    </row>
    <row r="114" spans="1:16" ht="12.75">
      <c r="A114" s="13"/>
      <c r="F114" s="16"/>
      <c r="I114" s="24"/>
      <c r="J114" s="27"/>
      <c r="K114" s="19"/>
      <c r="O114" s="27"/>
      <c r="P114" s="27"/>
    </row>
    <row r="115" spans="1:16" ht="12.75">
      <c r="A115" s="13"/>
      <c r="F115" s="16"/>
      <c r="I115" s="24"/>
      <c r="J115" s="27"/>
      <c r="K115" s="19"/>
      <c r="O115" s="27"/>
      <c r="P115" s="27"/>
    </row>
    <row r="116" spans="1:16" ht="12.75">
      <c r="A116" s="13"/>
      <c r="F116" s="16"/>
      <c r="I116" s="24"/>
      <c r="J116" s="27"/>
      <c r="K116" s="19"/>
      <c r="O116" s="27"/>
      <c r="P116" s="27"/>
    </row>
    <row r="117" spans="1:16" ht="12.75">
      <c r="A117" s="13"/>
      <c r="F117" s="16"/>
      <c r="I117" s="24"/>
      <c r="J117" s="27"/>
      <c r="K117" s="19"/>
      <c r="O117" s="27"/>
      <c r="P117" s="27"/>
    </row>
    <row r="118" spans="1:16" ht="12.75">
      <c r="A118" s="13"/>
      <c r="F118" s="16"/>
      <c r="I118" s="24"/>
      <c r="J118" s="27"/>
      <c r="K118" s="19"/>
      <c r="O118" s="27"/>
      <c r="P118" s="27"/>
    </row>
    <row r="119" spans="1:16" ht="12.75">
      <c r="A119" s="13"/>
      <c r="F119" s="16"/>
      <c r="I119" s="24"/>
      <c r="J119" s="27"/>
      <c r="K119" s="19"/>
      <c r="O119" s="27"/>
      <c r="P119" s="27"/>
    </row>
    <row r="120" spans="1:16" ht="12.75">
      <c r="A120" s="13"/>
      <c r="F120" s="16"/>
      <c r="I120" s="24"/>
      <c r="J120" s="27"/>
      <c r="K120" s="19"/>
      <c r="O120" s="27"/>
      <c r="P120" s="27"/>
    </row>
    <row r="121" spans="1:16" ht="12.75">
      <c r="A121" s="13"/>
      <c r="F121" s="16"/>
      <c r="I121" s="24"/>
      <c r="J121" s="27"/>
      <c r="K121" s="19"/>
      <c r="O121" s="27"/>
      <c r="P121" s="27"/>
    </row>
    <row r="122" spans="1:16" ht="12.75">
      <c r="A122" s="13"/>
      <c r="F122" s="16"/>
      <c r="I122" s="24"/>
      <c r="J122" s="27"/>
      <c r="K122" s="19"/>
      <c r="O122" s="27"/>
      <c r="P122" s="27"/>
    </row>
    <row r="123" spans="1:16" ht="12.75">
      <c r="A123" s="13"/>
      <c r="F123" s="16"/>
      <c r="I123" s="24"/>
      <c r="J123" s="27"/>
      <c r="K123" s="19"/>
      <c r="O123" s="27"/>
      <c r="P123" s="27"/>
    </row>
    <row r="124" spans="1:16" ht="12.75">
      <c r="A124" s="13"/>
      <c r="F124" s="16"/>
      <c r="I124" s="24"/>
      <c r="J124" s="27"/>
      <c r="K124" s="19"/>
      <c r="O124" s="27"/>
      <c r="P124" s="27"/>
    </row>
    <row r="125" spans="1:16" ht="12.75">
      <c r="A125" s="13" t="s">
        <v>304</v>
      </c>
      <c r="B125" s="27">
        <f>(P125-N125)/7</f>
        <v>5.385714285714286</v>
      </c>
      <c r="F125" s="16">
        <v>166</v>
      </c>
      <c r="I125" s="19">
        <f>F126/F125</f>
        <v>1.0542168674698795</v>
      </c>
      <c r="J125" s="27">
        <f>'table 2 life history'!F125/'table 3 Height'!F125/'table 3 Height'!F125*10000</f>
        <v>17.745681521265784</v>
      </c>
      <c r="K125" s="19"/>
      <c r="L125" s="19">
        <f>J126/J125</f>
        <v>1.023071557948333</v>
      </c>
      <c r="N125" s="21">
        <v>91.2</v>
      </c>
      <c r="O125" s="27">
        <v>102.2</v>
      </c>
      <c r="P125" s="27">
        <v>128.9</v>
      </c>
    </row>
    <row r="126" spans="1:18" ht="12.75">
      <c r="A126" s="13" t="s">
        <v>305</v>
      </c>
      <c r="B126" s="27">
        <f>(P126-N126)/7</f>
        <v>5.514285714285713</v>
      </c>
      <c r="C126" s="17">
        <v>14</v>
      </c>
      <c r="D126" s="17">
        <v>17</v>
      </c>
      <c r="E126" s="17">
        <v>18.5</v>
      </c>
      <c r="F126" s="16">
        <v>175</v>
      </c>
      <c r="I126" s="24"/>
      <c r="J126" s="27">
        <f>'table 2 life history'!F126/'table 3 Height'!F126/'table 3 Height'!F126*10000</f>
        <v>18.155102040816328</v>
      </c>
      <c r="K126" s="19"/>
      <c r="N126" s="21">
        <v>89.2</v>
      </c>
      <c r="O126" s="27">
        <v>101.4</v>
      </c>
      <c r="P126" s="27">
        <v>127.8</v>
      </c>
      <c r="Q126" s="17">
        <f>(P126-O126)/5</f>
        <v>5.2799999999999985</v>
      </c>
      <c r="R126" s="30">
        <f>B126/((O126+P126)/2)^0.75</f>
        <v>0.1574348234395122</v>
      </c>
    </row>
    <row r="127" spans="1:16" ht="12.75">
      <c r="A127" s="13" t="s">
        <v>306</v>
      </c>
      <c r="C127" s="17">
        <v>11</v>
      </c>
      <c r="D127" s="17">
        <v>14</v>
      </c>
      <c r="E127" s="17">
        <v>16.5</v>
      </c>
      <c r="F127" s="16">
        <v>163</v>
      </c>
      <c r="I127" s="19">
        <f>F128/F127</f>
        <v>1.0858895705521472</v>
      </c>
      <c r="J127" s="27"/>
      <c r="K127" s="19"/>
      <c r="L127" s="19"/>
      <c r="O127" s="27"/>
      <c r="P127" s="27"/>
    </row>
    <row r="128" spans="1:16" ht="12.75">
      <c r="A128" s="13" t="s">
        <v>307</v>
      </c>
      <c r="C128" s="17">
        <v>13.5</v>
      </c>
      <c r="D128" s="17">
        <v>16.5</v>
      </c>
      <c r="F128" s="16">
        <v>177</v>
      </c>
      <c r="I128" s="24"/>
      <c r="J128" s="27"/>
      <c r="K128" s="19"/>
      <c r="O128" s="27"/>
      <c r="P128" s="27"/>
    </row>
    <row r="129" spans="1:6" ht="12.75">
      <c r="A129" s="13" t="s">
        <v>280</v>
      </c>
      <c r="F129" s="16">
        <v>150</v>
      </c>
    </row>
    <row r="130" spans="1:17" ht="12.75">
      <c r="A130" s="13" t="s">
        <v>406</v>
      </c>
      <c r="F130" s="16">
        <v>155</v>
      </c>
      <c r="I130" s="19">
        <f>F131/F130</f>
        <v>1.0774193548387097</v>
      </c>
      <c r="J130" s="27">
        <f>'table 2 life history'!F130/'table 3 Height'!F130/'table 3 Height'!F130*10000</f>
        <v>24.557752341311133</v>
      </c>
      <c r="K130" s="19"/>
      <c r="L130" s="19">
        <f>J131/J130</f>
        <v>1.0279005573547921</v>
      </c>
      <c r="O130" s="17">
        <v>105.7</v>
      </c>
      <c r="P130" s="17">
        <v>129</v>
      </c>
      <c r="Q130" s="17">
        <f>(P130-O130)/4</f>
        <v>5.824999999999999</v>
      </c>
    </row>
    <row r="131" spans="1:17" ht="12.75">
      <c r="A131" s="13" t="s">
        <v>405</v>
      </c>
      <c r="F131" s="16">
        <v>167</v>
      </c>
      <c r="J131" s="27">
        <f>'table 2 life history'!F131/'table 3 Height'!F131/'table 3 Height'!F131*10000</f>
        <v>25.242927319014665</v>
      </c>
      <c r="K131" s="19"/>
      <c r="O131" s="17">
        <v>106.6</v>
      </c>
      <c r="P131" s="17">
        <v>130.4</v>
      </c>
      <c r="Q131" s="17">
        <f>(P131-O131)/4</f>
        <v>5.950000000000003</v>
      </c>
    </row>
    <row r="132" spans="1:10" ht="12.75">
      <c r="A132" s="13" t="s">
        <v>149</v>
      </c>
      <c r="F132" s="5">
        <v>157</v>
      </c>
      <c r="J132" s="17">
        <f>57.06/F132/F132*10000</f>
        <v>23.149012130309547</v>
      </c>
    </row>
    <row r="141" spans="3:5" ht="12.75">
      <c r="C141" s="5"/>
      <c r="D141" s="5"/>
      <c r="E141" s="5"/>
    </row>
    <row r="142" spans="1:18" ht="12.75">
      <c r="A142" s="17" t="s">
        <v>442</v>
      </c>
      <c r="B142" s="27">
        <f>(P142-N142)/7</f>
        <v>5.528571428571427</v>
      </c>
      <c r="C142" s="5">
        <v>10.2</v>
      </c>
      <c r="D142" s="5">
        <v>13.8</v>
      </c>
      <c r="E142" s="5"/>
      <c r="F142" s="5">
        <v>158</v>
      </c>
      <c r="I142" s="19">
        <f>F143/F142</f>
        <v>1.0632911392405062</v>
      </c>
      <c r="J142" s="27">
        <f>'table 2 life history'!F142/'table 3 Height'!F142/'table 3 Height'!F142*10000</f>
        <v>20.870052876141646</v>
      </c>
      <c r="K142" s="19"/>
      <c r="L142" s="19">
        <f>J143/J142</f>
        <v>0.9846590587610603</v>
      </c>
      <c r="N142" s="21">
        <v>87.9</v>
      </c>
      <c r="O142" s="17">
        <v>100.1</v>
      </c>
      <c r="P142" s="17">
        <v>126.6</v>
      </c>
      <c r="Q142" s="17">
        <f>(P142-O142)/4</f>
        <v>6.625</v>
      </c>
      <c r="R142" s="30">
        <f>B142/((O142+P142)/2)^0.75</f>
        <v>0.15914638630462458</v>
      </c>
    </row>
    <row r="143" spans="1:18" ht="12.75">
      <c r="A143" s="17" t="s">
        <v>443</v>
      </c>
      <c r="B143" s="27">
        <f>(P143-N143)/7</f>
        <v>5.557142857142856</v>
      </c>
      <c r="C143" s="5">
        <v>12.2</v>
      </c>
      <c r="D143" s="5">
        <v>16.3</v>
      </c>
      <c r="E143" s="5"/>
      <c r="F143" s="5">
        <v>168</v>
      </c>
      <c r="J143" s="27">
        <f>'table 2 life history'!F143/'table 3 Height'!F143/'table 3 Height'!F143*10000</f>
        <v>20.549886621315192</v>
      </c>
      <c r="K143" s="19"/>
      <c r="N143" s="21">
        <v>87.9</v>
      </c>
      <c r="O143" s="17">
        <v>100.9</v>
      </c>
      <c r="P143" s="17">
        <v>126.8</v>
      </c>
      <c r="Q143" s="17">
        <f>(P143-O143)/4</f>
        <v>6.474999999999998</v>
      </c>
      <c r="R143" s="30">
        <f>B143/((O143+P143)/2)^0.75</f>
        <v>0.15944165184910852</v>
      </c>
    </row>
    <row r="144" spans="1:12" ht="12.75">
      <c r="A144" s="13" t="s">
        <v>455</v>
      </c>
      <c r="B144" s="5">
        <v>5.8</v>
      </c>
      <c r="C144" s="5"/>
      <c r="D144" s="5"/>
      <c r="E144" s="5"/>
      <c r="L144" s="19"/>
    </row>
    <row r="145" spans="1:9" ht="12.75">
      <c r="A145" s="13" t="s">
        <v>456</v>
      </c>
      <c r="B145" s="5">
        <v>5.9</v>
      </c>
      <c r="C145" s="5"/>
      <c r="D145" s="5"/>
      <c r="E145" s="5"/>
      <c r="F145" s="5">
        <v>163</v>
      </c>
      <c r="I145" s="19"/>
    </row>
    <row r="146" spans="1:18" ht="12.75">
      <c r="A146" s="13" t="s">
        <v>483</v>
      </c>
      <c r="B146" s="27">
        <f>(P146-N146)/7</f>
        <v>6.142857142857143</v>
      </c>
      <c r="C146" s="5"/>
      <c r="D146" s="5"/>
      <c r="E146" s="5"/>
      <c r="F146" s="5">
        <v>157</v>
      </c>
      <c r="I146" s="19">
        <f>F147/F146</f>
        <v>1.0955414012738853</v>
      </c>
      <c r="J146" s="27">
        <f>'table 2 life history'!F146/'table 3 Height'!F146/'table 3 Height'!F146*10000</f>
        <v>26.04568136638403</v>
      </c>
      <c r="K146" s="19">
        <f>5.518-4.9</f>
        <v>0.6179999999999994</v>
      </c>
      <c r="L146" s="19">
        <f>J147/J146</f>
        <v>0.9902205178685457</v>
      </c>
      <c r="N146" s="21">
        <v>90</v>
      </c>
      <c r="O146" s="17">
        <v>104</v>
      </c>
      <c r="P146" s="17">
        <v>133</v>
      </c>
      <c r="Q146" s="17">
        <f>(P146-O146)/4</f>
        <v>7.25</v>
      </c>
      <c r="R146" s="30">
        <f>B146/((O146+P146)/2)^0.75</f>
        <v>0.1710336849626961</v>
      </c>
    </row>
    <row r="147" spans="1:18" ht="12.75">
      <c r="A147" s="13" t="s">
        <v>484</v>
      </c>
      <c r="B147" s="27">
        <f>(P147-N147)/7</f>
        <v>6.142857142857143</v>
      </c>
      <c r="C147" s="5">
        <v>11.5</v>
      </c>
      <c r="D147" s="5">
        <v>13</v>
      </c>
      <c r="E147" s="5">
        <v>14.5</v>
      </c>
      <c r="F147" s="5">
        <v>172</v>
      </c>
      <c r="J147" s="27">
        <f>'table 2 life history'!F147/'table 3 Height'!F147/'table 3 Height'!F147*10000</f>
        <v>25.790968090859927</v>
      </c>
      <c r="K147" s="19">
        <f>5.869-5.4</f>
        <v>0.4689999999999994</v>
      </c>
      <c r="N147" s="21">
        <v>90</v>
      </c>
      <c r="O147" s="17">
        <v>104</v>
      </c>
      <c r="P147" s="17">
        <v>133</v>
      </c>
      <c r="Q147" s="17">
        <f>(P147-O147)/4</f>
        <v>7.25</v>
      </c>
      <c r="R147" s="30">
        <f>B147/((O147+P147)/2)^0.75</f>
        <v>0.1710336849626961</v>
      </c>
    </row>
    <row r="148" spans="1:18" ht="12.75">
      <c r="A148" s="13" t="s">
        <v>487</v>
      </c>
      <c r="B148" s="27">
        <f>(129.9-96.5)/(9.5-4.2)</f>
        <v>6.301886792452832</v>
      </c>
      <c r="C148" s="5">
        <v>10</v>
      </c>
      <c r="D148" s="5">
        <v>10.5</v>
      </c>
      <c r="E148" s="5">
        <v>11</v>
      </c>
      <c r="F148" s="5">
        <v>152</v>
      </c>
      <c r="I148" s="19">
        <f>F149/F148</f>
        <v>1.0855263157894737</v>
      </c>
      <c r="J148" s="27">
        <f>'table 2 life history'!F148/'table 3 Height'!F148/'table 3 Height'!F148*10000</f>
        <v>26.965027700831023</v>
      </c>
      <c r="K148" s="19">
        <f>5.84-4.9</f>
        <v>0.9399999999999995</v>
      </c>
      <c r="L148" s="19">
        <f>J149/J148</f>
        <v>1.0066434666230377</v>
      </c>
      <c r="O148" s="17">
        <v>102</v>
      </c>
      <c r="P148" s="17">
        <v>134</v>
      </c>
      <c r="Q148" s="17">
        <f>(P148-O148)/4</f>
        <v>8</v>
      </c>
      <c r="R148" s="30">
        <f>B148/((O148+P148)/2)^0.75</f>
        <v>0.17601881452897133</v>
      </c>
    </row>
    <row r="149" spans="1:18" ht="12.75">
      <c r="A149" s="13" t="s">
        <v>492</v>
      </c>
      <c r="B149" s="27">
        <f>(P149-99)/(10-3.8)</f>
        <v>5.161290322580645</v>
      </c>
      <c r="C149" s="5">
        <v>12</v>
      </c>
      <c r="D149" s="5">
        <v>13</v>
      </c>
      <c r="E149" s="5">
        <v>14</v>
      </c>
      <c r="F149" s="5">
        <v>165</v>
      </c>
      <c r="J149" s="27">
        <f>'table 2 life history'!F149/'table 3 Height'!F149/'table 3 Height'!F149*10000</f>
        <v>27.144168962350783</v>
      </c>
      <c r="K149" s="19">
        <f>5.21-4.6</f>
        <v>0.6100000000000003</v>
      </c>
      <c r="O149" s="17">
        <v>104.5</v>
      </c>
      <c r="P149" s="17">
        <v>131</v>
      </c>
      <c r="Q149" s="17">
        <f>(P149-O149)/4</f>
        <v>6.625</v>
      </c>
      <c r="R149" s="30">
        <f>B149/((O149+P149)/2)^0.75</f>
        <v>0.1443901614389821</v>
      </c>
    </row>
    <row r="150" spans="1:12" ht="12.75">
      <c r="A150" s="13" t="s">
        <v>558</v>
      </c>
      <c r="C150" s="5"/>
      <c r="D150" s="5"/>
      <c r="E150" s="38"/>
      <c r="F150" s="49">
        <v>145</v>
      </c>
      <c r="G150" s="94"/>
      <c r="H150" s="91"/>
      <c r="I150" s="19">
        <f>F151/F150</f>
        <v>1.0551724137931036</v>
      </c>
      <c r="J150" s="27">
        <f>'table 2 life history'!F150/'table 3 Height'!F150/'table 3 Height'!F150*10000</f>
        <v>16.171224732461354</v>
      </c>
      <c r="K150" s="19"/>
      <c r="L150" s="19">
        <f>J151/J150</f>
        <v>1.083073880583888</v>
      </c>
    </row>
    <row r="151" spans="1:11" ht="12.75">
      <c r="A151" s="13" t="s">
        <v>559</v>
      </c>
      <c r="F151" s="49">
        <v>153</v>
      </c>
      <c r="G151" s="94"/>
      <c r="H151" s="91"/>
      <c r="J151" s="27">
        <f>'table 2 life history'!F151/'table 3 Height'!F151/'table 3 Height'!F151*10000</f>
        <v>17.514631124781065</v>
      </c>
      <c r="K151" s="19"/>
    </row>
    <row r="152" ht="12.75">
      <c r="A152" s="13"/>
    </row>
    <row r="153" ht="12.75">
      <c r="A153" s="13"/>
    </row>
    <row r="154" ht="12.75">
      <c r="A154" s="49"/>
    </row>
    <row r="155" ht="12.75">
      <c r="A155" s="49"/>
    </row>
    <row r="156" spans="1:12" ht="12.75">
      <c r="A156" s="49" t="s">
        <v>564</v>
      </c>
      <c r="E156" s="49"/>
      <c r="F156" s="49">
        <v>148.7</v>
      </c>
      <c r="G156" s="94"/>
      <c r="H156" s="91"/>
      <c r="I156" s="19">
        <f>F157/F156</f>
        <v>1.0699394754539342</v>
      </c>
      <c r="J156" s="27">
        <f>'table 2 life history'!F156/'table 3 Height'!F156/'table 3 Height'!F156*10000</f>
        <v>21.30094985955393</v>
      </c>
      <c r="K156" s="19"/>
      <c r="L156" s="19">
        <f>J157/J156</f>
        <v>1.0256183959074634</v>
      </c>
    </row>
    <row r="157" spans="1:11" ht="12.75">
      <c r="A157" s="49" t="s">
        <v>565</v>
      </c>
      <c r="F157" s="49">
        <v>159.1</v>
      </c>
      <c r="G157" s="94"/>
      <c r="H157" s="91"/>
      <c r="J157" s="27">
        <f>'table 2 life history'!F157/'table 3 Height'!F157/'table 3 Height'!F157*10000</f>
        <v>21.846646026261013</v>
      </c>
      <c r="K157" s="19"/>
    </row>
    <row r="158" spans="1:12" ht="12.75">
      <c r="A158" s="49" t="s">
        <v>566</v>
      </c>
      <c r="E158" s="49"/>
      <c r="F158" s="49">
        <v>153.3</v>
      </c>
      <c r="G158" s="94"/>
      <c r="H158" s="91"/>
      <c r="I158" s="19">
        <f>F159/F158</f>
        <v>1.0834964122635353</v>
      </c>
      <c r="J158" s="27">
        <f>'table 2 life history'!F158/'table 3 Height'!F158/'table 3 Height'!F158*10000</f>
        <v>24.04164267821346</v>
      </c>
      <c r="K158" s="19"/>
      <c r="L158" s="19">
        <f>J159/J158</f>
        <v>0.9709178026642477</v>
      </c>
    </row>
    <row r="159" spans="1:11" ht="12.75">
      <c r="A159" s="49" t="s">
        <v>567</v>
      </c>
      <c r="F159" s="49">
        <v>166.1</v>
      </c>
      <c r="G159" s="94"/>
      <c r="H159" s="91"/>
      <c r="J159" s="27">
        <f>'table 2 life history'!F159/'table 3 Height'!F159/'table 3 Height'!F159*10000</f>
        <v>23.34245888157001</v>
      </c>
      <c r="K159" s="19"/>
    </row>
    <row r="160" spans="1:12" ht="12.75">
      <c r="A160" s="49" t="s">
        <v>568</v>
      </c>
      <c r="E160" s="49"/>
      <c r="F160" s="49">
        <v>153.7</v>
      </c>
      <c r="G160" s="94"/>
      <c r="H160" s="91"/>
      <c r="I160" s="19">
        <f>F161/F160</f>
        <v>1.0832791151594015</v>
      </c>
      <c r="J160" s="27">
        <f>'table 2 life history'!F160/'table 3 Height'!F160/'table 3 Height'!F160*10000</f>
        <v>25.914664474516897</v>
      </c>
      <c r="K160" s="19"/>
      <c r="L160" s="19">
        <f>J161/J160</f>
        <v>0.9701942852170505</v>
      </c>
    </row>
    <row r="161" spans="1:11" ht="12.75">
      <c r="A161" s="49" t="s">
        <v>569</v>
      </c>
      <c r="F161" s="49">
        <v>166.5</v>
      </c>
      <c r="G161" s="94"/>
      <c r="H161" s="91"/>
      <c r="J161" s="27">
        <f>'table 2 life history'!F161/'table 3 Height'!F161/'table 3 Height'!F161*10000</f>
        <v>25.142259376493612</v>
      </c>
      <c r="K161" s="19"/>
    </row>
    <row r="162" spans="1:12" ht="12.75">
      <c r="A162" s="49" t="s">
        <v>570</v>
      </c>
      <c r="E162" s="49"/>
      <c r="F162" s="2">
        <v>160</v>
      </c>
      <c r="G162" s="95"/>
      <c r="H162" s="10"/>
      <c r="I162" s="19">
        <f>F163/F162</f>
        <v>1.0875</v>
      </c>
      <c r="J162" s="27">
        <f>'table 2 life history'!F162/'table 3 Height'!F162/'table 3 Height'!F162*10000</f>
        <v>24.609375</v>
      </c>
      <c r="K162" s="19"/>
      <c r="L162" s="19">
        <f>J163/J162</f>
        <v>0.9529262006471678</v>
      </c>
    </row>
    <row r="163" spans="1:12" ht="12.75">
      <c r="A163" s="49" t="s">
        <v>571</v>
      </c>
      <c r="F163" s="49">
        <v>174</v>
      </c>
      <c r="G163" s="94"/>
      <c r="H163" s="91"/>
      <c r="J163" s="27">
        <f>'table 2 life history'!F163/'table 3 Height'!F163/'table 3 Height'!F163*10000</f>
        <v>23.450918219051395</v>
      </c>
      <c r="K163" s="19"/>
      <c r="L163" s="19"/>
    </row>
    <row r="164" spans="1:16" ht="12.75">
      <c r="A164" s="49" t="s">
        <v>646</v>
      </c>
      <c r="B164" s="27">
        <f>(P164-N164)/7</f>
        <v>6.357142857142857</v>
      </c>
      <c r="F164" s="5">
        <v>149</v>
      </c>
      <c r="I164" s="19">
        <f>F165/F164</f>
        <v>1.087248322147651</v>
      </c>
      <c r="J164" s="27">
        <f>'table 2 life history'!F164/'table 3 Height'!F164/'table 3 Height'!F164*10000</f>
        <v>22.97193820098194</v>
      </c>
      <c r="K164" s="19">
        <f>6.248-5.349</f>
        <v>0.899</v>
      </c>
      <c r="L164" s="19">
        <f>J165/J164</f>
        <v>1.031722059346525</v>
      </c>
      <c r="N164" s="21">
        <v>80.5</v>
      </c>
      <c r="P164" s="17">
        <v>125</v>
      </c>
    </row>
    <row r="165" spans="1:16" ht="12.75">
      <c r="A165" s="49" t="s">
        <v>647</v>
      </c>
      <c r="B165" s="27">
        <f>(P165-N165)/7</f>
        <v>5.385714285714286</v>
      </c>
      <c r="F165" s="5">
        <v>162</v>
      </c>
      <c r="J165" s="27">
        <f>'table 2 life history'!F165/'table 3 Height'!F165/'table 3 Height'!F165*10000</f>
        <v>23.70065538789819</v>
      </c>
      <c r="K165" s="19">
        <f>5.393-4.418</f>
        <v>0.9749999999999996</v>
      </c>
      <c r="N165" s="21">
        <v>83.3</v>
      </c>
      <c r="P165" s="17">
        <v>121</v>
      </c>
    </row>
    <row r="173" spans="1:16" ht="12.75">
      <c r="A173" s="17" t="s">
        <v>617</v>
      </c>
      <c r="B173" s="27">
        <f>(P173-N173)/7</f>
        <v>4.257142857142857</v>
      </c>
      <c r="C173" s="17">
        <v>10</v>
      </c>
      <c r="D173" s="17">
        <v>12</v>
      </c>
      <c r="F173" s="5">
        <v>142</v>
      </c>
      <c r="I173" s="19">
        <f>F174/F173</f>
        <v>1.091549295774648</v>
      </c>
      <c r="J173" s="27">
        <f>'table 2 life history'!F173/'table 3 Height'!F173/'table 3 Height'!F173*10000</f>
        <v>25.44138067843682</v>
      </c>
      <c r="K173" s="19">
        <f>4.325-3.386</f>
        <v>0.9390000000000001</v>
      </c>
      <c r="N173" s="21">
        <v>86.3</v>
      </c>
      <c r="P173" s="17">
        <v>116.1</v>
      </c>
    </row>
    <row r="174" spans="1:16" ht="12.75">
      <c r="A174" s="17" t="s">
        <v>618</v>
      </c>
      <c r="B174" s="27">
        <f>(P174-N174)/7</f>
        <v>5.362857142857144</v>
      </c>
      <c r="C174" s="17">
        <v>10</v>
      </c>
      <c r="D174" s="17">
        <v>12</v>
      </c>
      <c r="F174" s="5">
        <v>155</v>
      </c>
      <c r="I174" s="19"/>
      <c r="J174" s="27">
        <f>'table 2 life history'!F174/'table 3 Height'!F174/'table 3 Height'!F174*10000</f>
        <v>25.098855359001043</v>
      </c>
      <c r="K174" s="20">
        <f>5.466-4.85</f>
        <v>0.6160000000000005</v>
      </c>
      <c r="N174" s="21">
        <v>81.96</v>
      </c>
      <c r="P174" s="17">
        <v>119.5</v>
      </c>
    </row>
    <row r="175" spans="1:16" ht="12.75">
      <c r="A175" s="17" t="s">
        <v>643</v>
      </c>
      <c r="B175" s="27">
        <f>(P175-N175)/7</f>
        <v>6.714285714285714</v>
      </c>
      <c r="F175" s="5">
        <v>151</v>
      </c>
      <c r="I175" s="19">
        <f>F176/F175</f>
        <v>1.086092715231788</v>
      </c>
      <c r="J175" s="27">
        <f>'table 2 life history'!F175/'table 3 Height'!F175/'table 3 Height'!F175*10000</f>
        <v>19.999122845489236</v>
      </c>
      <c r="N175" s="21">
        <v>87</v>
      </c>
      <c r="P175" s="17">
        <v>134</v>
      </c>
    </row>
    <row r="176" spans="1:16" ht="12.75">
      <c r="A176" s="17" t="s">
        <v>642</v>
      </c>
      <c r="B176" s="27">
        <f>(P176-N176)/7</f>
        <v>6.714285714285714</v>
      </c>
      <c r="F176" s="5">
        <v>164</v>
      </c>
      <c r="J176" s="27">
        <f>'table 2 life history'!F176/'table 3 Height'!F176/'table 3 Height'!F176*10000</f>
        <v>20.48631766805473</v>
      </c>
      <c r="N176" s="21">
        <v>87</v>
      </c>
      <c r="P176" s="17">
        <v>134</v>
      </c>
    </row>
    <row r="177" ht="12.75">
      <c r="A177" s="49" t="s">
        <v>644</v>
      </c>
    </row>
    <row r="178" ht="12.75">
      <c r="A178" s="49" t="s">
        <v>645</v>
      </c>
    </row>
    <row r="179" spans="1:16" ht="12.75">
      <c r="A179" s="49" t="s">
        <v>660</v>
      </c>
      <c r="B179" s="17">
        <v>3.6</v>
      </c>
      <c r="F179" s="5">
        <v>144</v>
      </c>
      <c r="I179" s="19">
        <f>F180/F179</f>
        <v>1.0833333333333333</v>
      </c>
      <c r="J179" s="27">
        <f>'table 2 life history'!F179/'table 3 Height'!F179/'table 3 Height'!F179*10000</f>
        <v>17.90912598204265</v>
      </c>
      <c r="P179" s="17">
        <v>122</v>
      </c>
    </row>
    <row r="180" spans="1:15" ht="12.75">
      <c r="A180" s="49" t="s">
        <v>661</v>
      </c>
      <c r="B180" s="17">
        <v>4.7</v>
      </c>
      <c r="F180" s="5">
        <v>156</v>
      </c>
      <c r="J180" s="27">
        <f>'table 2 life history'!F180/'table 3 Height'!F180/'table 3 Height'!F180*10000</f>
        <v>18.173599904369134</v>
      </c>
      <c r="O180" s="17">
        <v>103</v>
      </c>
    </row>
    <row r="181" spans="1:16" ht="12.75">
      <c r="A181" s="49" t="s">
        <v>679</v>
      </c>
      <c r="B181" s="27">
        <f>(P181-N181)/7</f>
        <v>6.195714285714284</v>
      </c>
      <c r="F181" s="5">
        <v>150.192</v>
      </c>
      <c r="I181" s="19">
        <f>F182/F181</f>
        <v>1.06756684776819</v>
      </c>
      <c r="J181" s="27">
        <f>'table 2 life history'!F181/'table 3 Height'!F181/'table 3 Height'!F181*10000</f>
        <v>18.080794653224896</v>
      </c>
      <c r="N181" s="21">
        <v>89.26</v>
      </c>
      <c r="P181" s="17">
        <v>132.63</v>
      </c>
    </row>
    <row r="182" spans="1:16" ht="12.75">
      <c r="A182" s="49" t="s">
        <v>680</v>
      </c>
      <c r="B182" s="27">
        <f>(P182-N182)/7</f>
        <v>5.104285714285715</v>
      </c>
      <c r="F182" s="5">
        <v>160.34</v>
      </c>
      <c r="J182" s="27">
        <f>'table 2 life history'!F182/'table 3 Height'!F182/'table 3 Height'!F182*10000</f>
        <v>18.85727144399665</v>
      </c>
      <c r="N182" s="21">
        <v>90</v>
      </c>
      <c r="P182" s="17">
        <v>125.73</v>
      </c>
    </row>
    <row r="183" ht="12.75">
      <c r="A183" s="49" t="s">
        <v>682</v>
      </c>
    </row>
    <row r="184" ht="12.75">
      <c r="A184" s="49" t="s">
        <v>683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8" sqref="B28"/>
    </sheetView>
  </sheetViews>
  <sheetFormatPr defaultColWidth="9.140625" defaultRowHeight="12.75"/>
  <cols>
    <col min="1" max="2" width="21.7109375" style="17" customWidth="1"/>
    <col min="3" max="3" width="9.28125" style="17" bestFit="1" customWidth="1"/>
    <col min="4" max="7" width="12.00390625" style="17" customWidth="1"/>
    <col min="8" max="8" width="9.140625" style="17" customWidth="1"/>
    <col min="9" max="9" width="9.140625" style="20" customWidth="1"/>
    <col min="10" max="16384" width="9.140625" style="17" customWidth="1"/>
  </cols>
  <sheetData>
    <row r="1" spans="2:7" ht="12.75">
      <c r="B1" s="17" t="s">
        <v>663</v>
      </c>
      <c r="C1" s="72" t="s">
        <v>677</v>
      </c>
      <c r="D1" s="17" t="s">
        <v>364</v>
      </c>
      <c r="E1" s="17" t="s">
        <v>662</v>
      </c>
      <c r="F1" s="17" t="s">
        <v>490</v>
      </c>
      <c r="G1" s="17" t="s">
        <v>491</v>
      </c>
    </row>
    <row r="2" spans="1:9" ht="12.75">
      <c r="A2" s="13" t="s">
        <v>629</v>
      </c>
      <c r="B2" s="13">
        <v>0</v>
      </c>
      <c r="C2" s="64">
        <v>53.7</v>
      </c>
      <c r="D2" s="65">
        <v>0.04053502502373754</v>
      </c>
      <c r="E2" s="65">
        <v>550</v>
      </c>
      <c r="F2" s="65">
        <v>22000</v>
      </c>
      <c r="G2" s="65">
        <v>0.025</v>
      </c>
      <c r="H2" s="65"/>
      <c r="I2" s="20">
        <f>D2*100</f>
        <v>4.053502502373754</v>
      </c>
    </row>
    <row r="3" spans="1:9" ht="12.75">
      <c r="A3" s="13" t="s">
        <v>629</v>
      </c>
      <c r="B3" s="13">
        <v>1</v>
      </c>
      <c r="C3" s="65">
        <v>51.8</v>
      </c>
      <c r="D3" s="65">
        <v>0.03151879601163067</v>
      </c>
      <c r="E3" s="78">
        <v>550</v>
      </c>
      <c r="F3" s="79">
        <v>22000</v>
      </c>
      <c r="G3" s="65">
        <v>0.025</v>
      </c>
      <c r="H3" s="77"/>
      <c r="I3" s="20">
        <f aca="true" t="shared" si="0" ref="I3:I29">D3*100</f>
        <v>3.151879601163067</v>
      </c>
    </row>
    <row r="4" spans="1:9" ht="12.75">
      <c r="A4" s="13" t="s">
        <v>630</v>
      </c>
      <c r="B4" s="13">
        <v>0</v>
      </c>
      <c r="C4" s="66">
        <v>38</v>
      </c>
      <c r="D4" s="65">
        <v>0.0025779879123401473</v>
      </c>
      <c r="E4" s="67">
        <v>1645</v>
      </c>
      <c r="F4" s="68">
        <v>1790</v>
      </c>
      <c r="G4" s="69">
        <v>0.9189944134078212</v>
      </c>
      <c r="I4" s="20">
        <f t="shared" si="0"/>
        <v>0.2577987912340147</v>
      </c>
    </row>
    <row r="5" spans="1:9" s="5" customFormat="1" ht="12.75">
      <c r="A5" s="13" t="s">
        <v>631</v>
      </c>
      <c r="B5" s="13">
        <v>0</v>
      </c>
      <c r="C5" s="64">
        <v>40.3</v>
      </c>
      <c r="D5" s="65">
        <v>0.015129465987948768</v>
      </c>
      <c r="E5" s="67">
        <v>609</v>
      </c>
      <c r="F5" s="68">
        <v>700</v>
      </c>
      <c r="G5" s="69">
        <v>0.87</v>
      </c>
      <c r="I5" s="20">
        <f t="shared" si="0"/>
        <v>1.5129465987948767</v>
      </c>
    </row>
    <row r="6" spans="1:9" ht="12.75">
      <c r="A6" s="13" t="s">
        <v>631</v>
      </c>
      <c r="B6" s="13">
        <v>1</v>
      </c>
      <c r="C6" s="64">
        <v>38</v>
      </c>
      <c r="D6" s="65">
        <v>0.017883284420728472</v>
      </c>
      <c r="E6" s="67">
        <v>609</v>
      </c>
      <c r="F6" s="68">
        <v>700</v>
      </c>
      <c r="G6" s="69">
        <v>0.87</v>
      </c>
      <c r="I6" s="20">
        <f t="shared" si="0"/>
        <v>1.7883284420728471</v>
      </c>
    </row>
    <row r="7" spans="1:9" ht="12.75">
      <c r="A7" s="13" t="s">
        <v>80</v>
      </c>
      <c r="B7" s="13">
        <v>1</v>
      </c>
      <c r="C7" s="65">
        <v>42</v>
      </c>
      <c r="D7" s="65">
        <v>0.017123398932460857</v>
      </c>
      <c r="E7" s="67">
        <v>1088</v>
      </c>
      <c r="F7" s="68">
        <v>12000</v>
      </c>
      <c r="G7" s="69">
        <v>0.09066666666666667</v>
      </c>
      <c r="I7" s="20">
        <f t="shared" si="0"/>
        <v>1.7123398932460856</v>
      </c>
    </row>
    <row r="8" spans="1:9" ht="12.75">
      <c r="A8" s="13" t="s">
        <v>585</v>
      </c>
      <c r="B8" s="13">
        <v>1</v>
      </c>
      <c r="C8" s="65">
        <v>50</v>
      </c>
      <c r="D8" s="65">
        <v>0.01615487556987624</v>
      </c>
      <c r="E8" s="74">
        <v>45000</v>
      </c>
      <c r="F8" s="76">
        <v>25000</v>
      </c>
      <c r="G8" s="71">
        <v>1.8</v>
      </c>
      <c r="I8" s="20">
        <f t="shared" si="0"/>
        <v>1.615487556987624</v>
      </c>
    </row>
    <row r="9" spans="1:9" ht="12.75">
      <c r="A9" s="13" t="s">
        <v>669</v>
      </c>
      <c r="B9" s="13">
        <v>0</v>
      </c>
      <c r="C9" s="65">
        <v>55.4</v>
      </c>
      <c r="D9" s="17">
        <v>0.03799828168446745</v>
      </c>
      <c r="E9" s="73"/>
      <c r="F9" s="75"/>
      <c r="G9" s="17">
        <v>0.9060887512899897</v>
      </c>
      <c r="I9" s="20">
        <f t="shared" si="0"/>
        <v>3.799828168446745</v>
      </c>
    </row>
    <row r="10" spans="1:9" ht="12.75">
      <c r="A10" s="13" t="s">
        <v>670</v>
      </c>
      <c r="B10" s="13">
        <v>0</v>
      </c>
      <c r="C10" s="65">
        <v>52</v>
      </c>
      <c r="D10" s="17">
        <v>0.041885738046817694</v>
      </c>
      <c r="E10" s="73"/>
      <c r="F10" s="75"/>
      <c r="G10" s="17">
        <v>0.20284537863415375</v>
      </c>
      <c r="I10" s="20">
        <f t="shared" si="0"/>
        <v>4.188573804681769</v>
      </c>
    </row>
    <row r="11" spans="1:9" ht="12.75">
      <c r="A11" s="13" t="s">
        <v>664</v>
      </c>
      <c r="B11" s="13">
        <v>1</v>
      </c>
      <c r="C11" s="65">
        <v>40.8</v>
      </c>
      <c r="D11" s="65">
        <v>0.0028942106103633704</v>
      </c>
      <c r="E11" s="69">
        <v>424</v>
      </c>
      <c r="F11" s="69">
        <v>980</v>
      </c>
      <c r="G11" s="69">
        <v>0.4326530612244898</v>
      </c>
      <c r="I11" s="20">
        <f t="shared" si="0"/>
        <v>0.289421061036337</v>
      </c>
    </row>
    <row r="12" spans="1:9" ht="12.75">
      <c r="A12" s="13" t="s">
        <v>667</v>
      </c>
      <c r="B12" s="13">
        <v>0</v>
      </c>
      <c r="C12" s="65">
        <v>38</v>
      </c>
      <c r="D12" s="65">
        <v>0.013407305422953467</v>
      </c>
      <c r="E12" s="71">
        <v>1500</v>
      </c>
      <c r="F12" s="71">
        <v>60</v>
      </c>
      <c r="G12" s="71">
        <v>25</v>
      </c>
      <c r="I12" s="20">
        <f t="shared" si="0"/>
        <v>1.3407305422953466</v>
      </c>
    </row>
    <row r="13" spans="1:9" ht="12.75">
      <c r="A13" s="13" t="s">
        <v>671</v>
      </c>
      <c r="B13" s="13">
        <v>0</v>
      </c>
      <c r="C13" s="65">
        <v>66</v>
      </c>
      <c r="D13" s="17">
        <v>0.0502</v>
      </c>
      <c r="G13" s="17">
        <v>0.5408</v>
      </c>
      <c r="I13" s="20">
        <f t="shared" si="0"/>
        <v>5.0200000000000005</v>
      </c>
    </row>
    <row r="14" spans="1:9" ht="12.75">
      <c r="A14" s="13" t="s">
        <v>632</v>
      </c>
      <c r="B14" s="13">
        <v>1</v>
      </c>
      <c r="C14" s="65">
        <v>50.4</v>
      </c>
      <c r="D14" s="17">
        <v>0.025351296366243017</v>
      </c>
      <c r="E14" s="73"/>
      <c r="F14" s="75"/>
      <c r="G14" s="17">
        <v>0.034096444227959086</v>
      </c>
      <c r="I14" s="20">
        <f t="shared" si="0"/>
        <v>2.5351296366243017</v>
      </c>
    </row>
    <row r="15" spans="1:9" ht="12.75">
      <c r="A15" s="13" t="s">
        <v>633</v>
      </c>
      <c r="B15" s="13">
        <v>1</v>
      </c>
      <c r="C15" s="70">
        <v>48</v>
      </c>
      <c r="D15" s="65">
        <v>0.01898966127770715</v>
      </c>
      <c r="E15" s="67">
        <v>600</v>
      </c>
      <c r="F15" s="68">
        <v>2500</v>
      </c>
      <c r="G15" s="69">
        <v>0.24</v>
      </c>
      <c r="I15" s="20">
        <f t="shared" si="0"/>
        <v>1.898966127770715</v>
      </c>
    </row>
    <row r="16" spans="1:9" ht="12.75">
      <c r="A16" s="13" t="s">
        <v>634</v>
      </c>
      <c r="B16" s="13">
        <v>1</v>
      </c>
      <c r="C16" s="64">
        <v>49.7</v>
      </c>
      <c r="D16" s="65">
        <v>0.008406415738182824</v>
      </c>
      <c r="E16" s="69">
        <v>1540</v>
      </c>
      <c r="F16" s="69">
        <v>8740</v>
      </c>
      <c r="G16" s="69">
        <v>0.17620137299771166</v>
      </c>
      <c r="I16" s="20">
        <f t="shared" si="0"/>
        <v>0.8406415738182824</v>
      </c>
    </row>
    <row r="17" spans="1:9" ht="12.75">
      <c r="A17" s="13" t="s">
        <v>596</v>
      </c>
      <c r="B17" s="13">
        <v>1</v>
      </c>
      <c r="C17" s="64">
        <v>42.2</v>
      </c>
      <c r="D17" s="65">
        <v>0.012433893304970975</v>
      </c>
      <c r="E17" s="69">
        <v>726</v>
      </c>
      <c r="F17" s="69">
        <v>11000</v>
      </c>
      <c r="G17" s="69">
        <v>0.066</v>
      </c>
      <c r="I17" s="20">
        <f t="shared" si="0"/>
        <v>1.2433893304970975</v>
      </c>
    </row>
    <row r="18" spans="1:9" ht="12.75">
      <c r="A18" s="13" t="s">
        <v>668</v>
      </c>
      <c r="B18" s="13">
        <v>1</v>
      </c>
      <c r="C18" s="65">
        <v>55</v>
      </c>
      <c r="D18" s="65">
        <v>0.015363754938422259</v>
      </c>
      <c r="E18" s="67">
        <v>4863</v>
      </c>
      <c r="F18" s="68">
        <v>286100</v>
      </c>
      <c r="G18" s="69">
        <v>0.016997553303040897</v>
      </c>
      <c r="I18" s="20">
        <f t="shared" si="0"/>
        <v>1.5363754938422258</v>
      </c>
    </row>
    <row r="19" spans="1:9" ht="12.75">
      <c r="A19" s="13" t="s">
        <v>142</v>
      </c>
      <c r="B19" s="13">
        <v>0</v>
      </c>
      <c r="C19" s="65">
        <v>49.7</v>
      </c>
      <c r="D19" s="17">
        <v>0.02416321606217779</v>
      </c>
      <c r="G19" s="17">
        <v>0.044584117180108955</v>
      </c>
      <c r="I19" s="20">
        <f t="shared" si="0"/>
        <v>2.416321606217779</v>
      </c>
    </row>
    <row r="20" spans="1:9" ht="12.75">
      <c r="A20" s="13" t="s">
        <v>665</v>
      </c>
      <c r="B20" s="13">
        <v>1</v>
      </c>
      <c r="C20" s="65">
        <v>39.4</v>
      </c>
      <c r="D20" s="65">
        <v>0.007060013318838878</v>
      </c>
      <c r="E20" s="69">
        <v>35000</v>
      </c>
      <c r="F20" s="69">
        <v>62900</v>
      </c>
      <c r="G20" s="69">
        <v>0.5564387917329093</v>
      </c>
      <c r="I20" s="20">
        <f t="shared" si="0"/>
        <v>0.7060013318838878</v>
      </c>
    </row>
    <row r="21" spans="1:9" ht="12.75">
      <c r="A21" s="13" t="s">
        <v>666</v>
      </c>
      <c r="B21" s="13">
        <v>1</v>
      </c>
      <c r="C21" s="65">
        <v>42.7</v>
      </c>
      <c r="D21" s="65">
        <v>0.0117945826340198</v>
      </c>
      <c r="E21" s="69">
        <v>32931</v>
      </c>
      <c r="F21" s="69">
        <v>227400</v>
      </c>
      <c r="G21" s="69">
        <v>0.14481530343007915</v>
      </c>
      <c r="I21" s="20">
        <f t="shared" si="0"/>
        <v>1.17945826340198</v>
      </c>
    </row>
    <row r="22" spans="1:9" ht="12.75">
      <c r="A22" s="17" t="s">
        <v>676</v>
      </c>
      <c r="B22" s="13">
        <v>0</v>
      </c>
      <c r="C22" s="17">
        <v>50.5</v>
      </c>
      <c r="D22" s="17">
        <v>0.043</v>
      </c>
      <c r="G22" s="17">
        <v>0.7034220532319392</v>
      </c>
      <c r="I22" s="20">
        <f t="shared" si="0"/>
        <v>4.3</v>
      </c>
    </row>
    <row r="23" spans="1:9" ht="12.75">
      <c r="A23" s="13" t="s">
        <v>635</v>
      </c>
      <c r="B23" s="13">
        <v>0</v>
      </c>
      <c r="C23" s="64">
        <v>51</v>
      </c>
      <c r="D23" s="65">
        <v>0.033960528346764905</v>
      </c>
      <c r="E23" s="71">
        <v>8000</v>
      </c>
      <c r="F23" s="71">
        <v>12000</v>
      </c>
      <c r="G23" s="71">
        <v>0.6666666666666666</v>
      </c>
      <c r="I23" s="20">
        <f t="shared" si="0"/>
        <v>3.3960528346764907</v>
      </c>
    </row>
    <row r="24" spans="1:9" ht="12.75">
      <c r="A24" s="17" t="s">
        <v>675</v>
      </c>
      <c r="B24" s="13">
        <v>0</v>
      </c>
      <c r="C24" s="17">
        <v>49.6</v>
      </c>
      <c r="D24" s="17">
        <v>0.0525900631246958</v>
      </c>
      <c r="G24" s="17">
        <v>0.20284537863415375</v>
      </c>
      <c r="I24" s="20">
        <f t="shared" si="0"/>
        <v>5.25900631246958</v>
      </c>
    </row>
    <row r="25" spans="1:9" ht="12.75">
      <c r="A25" s="13" t="s">
        <v>636</v>
      </c>
      <c r="B25" s="13">
        <v>0</v>
      </c>
      <c r="C25" s="65">
        <v>48.9</v>
      </c>
      <c r="D25" s="65">
        <v>0.02808130902608341</v>
      </c>
      <c r="E25" s="71">
        <v>177100</v>
      </c>
      <c r="F25" s="71">
        <v>50050</v>
      </c>
      <c r="G25" s="71">
        <v>3.5384615384615383</v>
      </c>
      <c r="I25" s="20">
        <f t="shared" si="0"/>
        <v>2.8081309026083408</v>
      </c>
    </row>
    <row r="26" spans="1:9" ht="12.75">
      <c r="A26" s="17" t="s">
        <v>674</v>
      </c>
      <c r="B26" s="13">
        <v>0</v>
      </c>
      <c r="C26" s="17">
        <v>52</v>
      </c>
      <c r="D26" s="17">
        <v>0.04372737741124851</v>
      </c>
      <c r="G26" s="17">
        <v>0.9324468521710579</v>
      </c>
      <c r="I26" s="20">
        <f t="shared" si="0"/>
        <v>4.372737741124851</v>
      </c>
    </row>
    <row r="27" spans="1:9" ht="12.75">
      <c r="A27" s="17" t="s">
        <v>672</v>
      </c>
      <c r="B27" s="13">
        <v>0</v>
      </c>
      <c r="C27" s="17">
        <v>56.7</v>
      </c>
      <c r="D27" s="17">
        <v>0.0461</v>
      </c>
      <c r="G27" s="17">
        <v>0.5831849653808111</v>
      </c>
      <c r="I27" s="20">
        <f t="shared" si="0"/>
        <v>4.61</v>
      </c>
    </row>
    <row r="28" spans="1:9" ht="12.75">
      <c r="A28" s="13" t="s">
        <v>595</v>
      </c>
      <c r="B28" s="13">
        <v>0</v>
      </c>
      <c r="C28" s="64">
        <v>45.4</v>
      </c>
      <c r="D28" s="17">
        <v>0.013292239918981937</v>
      </c>
      <c r="E28" s="71">
        <v>26893</v>
      </c>
      <c r="F28" s="71">
        <v>192000</v>
      </c>
      <c r="G28" s="71">
        <v>0.14006770833333335</v>
      </c>
      <c r="I28" s="20">
        <f t="shared" si="0"/>
        <v>1.3292239918981936</v>
      </c>
    </row>
    <row r="29" spans="1:9" ht="12.75">
      <c r="A29" s="17" t="s">
        <v>673</v>
      </c>
      <c r="B29" s="13">
        <v>0</v>
      </c>
      <c r="C29" s="17">
        <v>49.1</v>
      </c>
      <c r="D29" s="17">
        <v>0.048</v>
      </c>
      <c r="G29" s="17">
        <v>0.11242270938729623</v>
      </c>
      <c r="I29" s="20">
        <f t="shared" si="0"/>
        <v>4.8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Walker</dc:creator>
  <cp:keywords/>
  <dc:description/>
  <cp:lastModifiedBy>user</cp:lastModifiedBy>
  <cp:lastPrinted>2005-12-04T02:06:23Z</cp:lastPrinted>
  <dcterms:created xsi:type="dcterms:W3CDTF">2005-06-18T06:00:27Z</dcterms:created>
  <dcterms:modified xsi:type="dcterms:W3CDTF">2009-07-27T10:13:26Z</dcterms:modified>
  <cp:category/>
  <cp:version/>
  <cp:contentType/>
  <cp:contentStatus/>
</cp:coreProperties>
</file>